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메인\복지사업1\운영지원팀\3. 운영위원회\2020년 1차(12.14)\"/>
    </mc:Choice>
  </mc:AlternateContent>
  <xr:revisionPtr revIDLastSave="0" documentId="13_ncr:1_{727A1B8B-7951-4407-9E2F-CB8A2A98E58D}" xr6:coauthVersionLast="45" xr6:coauthVersionMax="45" xr10:uidLastSave="{00000000-0000-0000-0000-000000000000}"/>
  <bookViews>
    <workbookView xWindow="-120" yWindow="-120" windowWidth="29040" windowHeight="15840" activeTab="2" xr2:uid="{E834B3DB-8DC0-40D1-8DA2-0E4B2C212DB7}"/>
  </bookViews>
  <sheets>
    <sheet name="예산총칙" sheetId="4" r:id="rId1"/>
    <sheet name="총괄표" sheetId="1" r:id="rId2"/>
    <sheet name="세입내역서" sheetId="2" r:id="rId3"/>
    <sheet name="세출내역서" sheetId="3" r:id="rId4"/>
  </sheets>
  <definedNames>
    <definedName name="_xlnm.Print_Area" localSheetId="2">세입내역서!$A$1:$I$44</definedName>
    <definedName name="_xlnm.Print_Area" localSheetId="3">세출내역서!$A$1:$I$122</definedName>
    <definedName name="_xlnm.Print_Area" localSheetId="0">예산총칙!$A$1:$H$26</definedName>
    <definedName name="_xlnm.Print_Area" localSheetId="1">총괄표!$A$1:$L$13</definedName>
    <definedName name="Z_7C68958A_78ED_4868_B437_BEF1674DEA13_.wvu.PrintArea" localSheetId="0" hidden="1">예산총칙!$A$1:$H$26</definedName>
    <definedName name="Z_B1D30FB1_8B84_48CD_A509_CCB93130CA1F_.wvu.PrintArea" localSheetId="0" hidden="1">예산총칙!$A$1:$H$26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E22" i="4"/>
  <c r="D21" i="4"/>
  <c r="D20" i="4"/>
  <c r="D24" i="4" s="1"/>
  <c r="D15" i="4"/>
  <c r="D14" i="4"/>
  <c r="D13" i="4"/>
  <c r="D12" i="4"/>
  <c r="D11" i="4"/>
  <c r="D10" i="4"/>
  <c r="D16" i="4" l="1"/>
  <c r="I114" i="3"/>
  <c r="G6" i="3" l="1"/>
  <c r="G7" i="3"/>
  <c r="G8" i="3"/>
  <c r="G22" i="3"/>
  <c r="G26" i="3"/>
  <c r="G28" i="3"/>
  <c r="G34" i="3"/>
  <c r="G36" i="3"/>
  <c r="G37" i="3"/>
  <c r="G41" i="3"/>
  <c r="G43" i="3"/>
  <c r="G44" i="3"/>
  <c r="G46" i="3"/>
  <c r="G56" i="3"/>
  <c r="G62" i="3"/>
  <c r="G68" i="3"/>
  <c r="G71" i="3"/>
  <c r="G74" i="3"/>
  <c r="G75" i="3"/>
  <c r="G76" i="3"/>
  <c r="G78" i="3"/>
  <c r="G80" i="3"/>
  <c r="G81" i="3"/>
  <c r="G82" i="3"/>
  <c r="G86" i="3"/>
  <c r="G99" i="3"/>
  <c r="F6" i="3"/>
  <c r="F7" i="3"/>
  <c r="F8" i="3"/>
  <c r="F22" i="3"/>
  <c r="F26" i="3"/>
  <c r="F28" i="3"/>
  <c r="F34" i="3"/>
  <c r="F36" i="3"/>
  <c r="F37" i="3"/>
  <c r="F41" i="3"/>
  <c r="F43" i="3"/>
  <c r="F44" i="3"/>
  <c r="F46" i="3"/>
  <c r="F56" i="3"/>
  <c r="F62" i="3"/>
  <c r="F68" i="3"/>
  <c r="F71" i="3"/>
  <c r="F74" i="3"/>
  <c r="F75" i="3"/>
  <c r="F76" i="3"/>
  <c r="F78" i="3"/>
  <c r="F80" i="3"/>
  <c r="F81" i="3"/>
  <c r="F82" i="3"/>
  <c r="F86" i="3"/>
  <c r="F99" i="3"/>
  <c r="I46" i="3"/>
  <c r="I22" i="3"/>
  <c r="I34" i="3"/>
  <c r="G6" i="2"/>
  <c r="G7" i="2"/>
  <c r="G10" i="2"/>
  <c r="G11" i="2"/>
  <c r="G12" i="2"/>
  <c r="G18" i="2"/>
  <c r="G24" i="2"/>
  <c r="G25" i="2"/>
  <c r="G26" i="2"/>
  <c r="G28" i="2"/>
  <c r="G40" i="2"/>
  <c r="G41" i="2"/>
  <c r="G42" i="2"/>
  <c r="F10" i="2"/>
  <c r="F11" i="2"/>
  <c r="F12" i="2"/>
  <c r="F18" i="2"/>
  <c r="F24" i="2"/>
  <c r="F25" i="2"/>
  <c r="F26" i="2"/>
  <c r="F28" i="2"/>
  <c r="F40" i="2"/>
  <c r="F41" i="2"/>
  <c r="F44" i="2"/>
  <c r="F6" i="2"/>
  <c r="F7" i="2"/>
  <c r="I47" i="3" l="1"/>
  <c r="E18" i="2" l="1"/>
  <c r="I44" i="2"/>
  <c r="E44" i="2"/>
  <c r="I45" i="2"/>
  <c r="I14" i="2"/>
  <c r="I33" i="2"/>
  <c r="E33" i="2" s="1"/>
  <c r="I99" i="3"/>
  <c r="F33" i="2" l="1"/>
  <c r="G33" i="2" s="1"/>
  <c r="E32" i="2"/>
  <c r="I54" i="3"/>
  <c r="I96" i="3"/>
  <c r="I95" i="3"/>
  <c r="E31" i="2" l="1"/>
  <c r="F31" i="2" s="1"/>
  <c r="G31" i="2" s="1"/>
  <c r="F32" i="2"/>
  <c r="G32" i="2" s="1"/>
  <c r="I52" i="3"/>
  <c r="I37" i="3" l="1"/>
  <c r="I86" i="3" l="1"/>
  <c r="E86" i="3" s="1"/>
  <c r="I82" i="3"/>
  <c r="E82" i="3" s="1"/>
  <c r="E99" i="3"/>
  <c r="I78" i="3"/>
  <c r="E78" i="3" s="1"/>
  <c r="I76" i="3"/>
  <c r="E76" i="3" s="1"/>
  <c r="I12" i="2"/>
  <c r="E12" i="2" s="1"/>
  <c r="I71" i="3"/>
  <c r="E71" i="3" s="1"/>
  <c r="I68" i="3"/>
  <c r="E68" i="3" s="1"/>
  <c r="I65" i="3"/>
  <c r="I62" i="3" s="1"/>
  <c r="E62" i="3" s="1"/>
  <c r="I59" i="3"/>
  <c r="I57" i="3"/>
  <c r="I56" i="3" l="1"/>
  <c r="E56" i="3" s="1"/>
  <c r="E81" i="3"/>
  <c r="E80" i="3" s="1"/>
  <c r="J12" i="1" s="1"/>
  <c r="K12" i="1" s="1"/>
  <c r="L12" i="1" s="1"/>
  <c r="E75" i="3"/>
  <c r="E74" i="3" s="1"/>
  <c r="J11" i="1" s="1"/>
  <c r="K11" i="1" s="1"/>
  <c r="L11" i="1" s="1"/>
  <c r="E114" i="3" l="1"/>
  <c r="F114" i="3" s="1"/>
  <c r="G114" i="3" s="1"/>
  <c r="I119" i="3"/>
  <c r="E119" i="3" s="1"/>
  <c r="F119" i="3" s="1"/>
  <c r="G119" i="3" s="1"/>
  <c r="E46" i="3"/>
  <c r="E43" i="3" s="1"/>
  <c r="J10" i="1" s="1"/>
  <c r="K10" i="1" s="1"/>
  <c r="L10" i="1" s="1"/>
  <c r="E34" i="3"/>
  <c r="I41" i="3"/>
  <c r="E41" i="3" s="1"/>
  <c r="E37" i="3"/>
  <c r="I33" i="3"/>
  <c r="I32" i="3"/>
  <c r="I31" i="3"/>
  <c r="I30" i="3"/>
  <c r="I29" i="3"/>
  <c r="I26" i="3"/>
  <c r="E26" i="3" s="1"/>
  <c r="I18" i="3"/>
  <c r="E36" i="3" l="1"/>
  <c r="J9" i="1" s="1"/>
  <c r="K9" i="1" s="1"/>
  <c r="L9" i="1" s="1"/>
  <c r="E113" i="3"/>
  <c r="I28" i="3"/>
  <c r="E28" i="3" s="1"/>
  <c r="E112" i="3" l="1"/>
  <c r="F113" i="3"/>
  <c r="G113" i="3" s="1"/>
  <c r="I19" i="3"/>
  <c r="E22" i="3"/>
  <c r="I21" i="3"/>
  <c r="I20" i="3"/>
  <c r="I16" i="3"/>
  <c r="I15" i="3"/>
  <c r="I14" i="3"/>
  <c r="I13" i="3"/>
  <c r="I12" i="3"/>
  <c r="I11" i="3"/>
  <c r="I10" i="3"/>
  <c r="I9" i="3"/>
  <c r="D12" i="1"/>
  <c r="E12" i="1" s="1"/>
  <c r="D11" i="1"/>
  <c r="E11" i="1" s="1"/>
  <c r="F11" i="1" s="1"/>
  <c r="E11" i="2"/>
  <c r="E10" i="2" s="1"/>
  <c r="D9" i="1" s="1"/>
  <c r="E9" i="1" s="1"/>
  <c r="F9" i="1" s="1"/>
  <c r="I8" i="2"/>
  <c r="E7" i="2" s="1"/>
  <c r="E6" i="2" s="1"/>
  <c r="D7" i="1" s="1"/>
  <c r="E7" i="1" s="1"/>
  <c r="F7" i="1" s="1"/>
  <c r="E26" i="2"/>
  <c r="I28" i="2"/>
  <c r="E28" i="2" s="1"/>
  <c r="E41" i="2"/>
  <c r="E40" i="2" s="1"/>
  <c r="D13" i="1" s="1"/>
  <c r="E13" i="1" s="1"/>
  <c r="I18" i="2"/>
  <c r="J13" i="1" l="1"/>
  <c r="K13" i="1" s="1"/>
  <c r="L13" i="1" s="1"/>
  <c r="F112" i="3"/>
  <c r="G112" i="3" s="1"/>
  <c r="I8" i="3"/>
  <c r="E25" i="2"/>
  <c r="E24" i="2" s="1"/>
  <c r="E5" i="2" s="1"/>
  <c r="F5" i="2" s="1"/>
  <c r="G5" i="2" s="1"/>
  <c r="E8" i="3" l="1"/>
  <c r="E7" i="3" s="1"/>
  <c r="J7" i="1" s="1"/>
  <c r="K7" i="1" s="1"/>
  <c r="L7" i="1" s="1"/>
  <c r="D10" i="1"/>
  <c r="E6" i="3" l="1"/>
  <c r="E5" i="3" s="1"/>
  <c r="D6" i="1"/>
  <c r="E6" i="1" s="1"/>
  <c r="F6" i="1" s="1"/>
  <c r="E10" i="1"/>
  <c r="F10" i="1" s="1"/>
  <c r="J6" i="1" l="1"/>
  <c r="F5" i="3"/>
  <c r="G5" i="3" s="1"/>
  <c r="K6" i="1" l="1"/>
  <c r="L6" i="1" s="1"/>
</calcChain>
</file>

<file path=xl/sharedStrings.xml><?xml version="1.0" encoding="utf-8"?>
<sst xmlns="http://schemas.openxmlformats.org/spreadsheetml/2006/main" count="277" uniqueCount="212">
  <si>
    <t>연제구연산종합사회복지관 2020년 추경결산서</t>
    <phoneticPr fontId="4" type="noConversion"/>
  </si>
  <si>
    <t xml:space="preserve">1) 총괄표   </t>
    <phoneticPr fontId="4" type="noConversion"/>
  </si>
  <si>
    <t>(단위: 원)</t>
  </si>
  <si>
    <t>세 입</t>
  </si>
  <si>
    <t>세 출</t>
  </si>
  <si>
    <t>관</t>
  </si>
  <si>
    <t>항</t>
  </si>
  <si>
    <t>2020년 예산 (A)</t>
  </si>
  <si>
    <t>총 계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</si>
  <si>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</si>
  <si>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</si>
  <si>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</si>
  <si>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</si>
  <si>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</si>
  <si>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</si>
  <si>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</si>
  <si>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전입금</t>
  </si>
  <si>
    <t>재산조성비</t>
  </si>
  <si>
    <t>시설비</t>
  </si>
  <si>
    <t>이월금</t>
  </si>
  <si>
    <t>사업비</t>
  </si>
  <si>
    <t>잡수입</t>
  </si>
  <si>
    <t>예비비및기타</t>
  </si>
  <si>
    <t xml:space="preserve">2) 세입내역서 </t>
  </si>
  <si>
    <t>목</t>
  </si>
  <si>
    <t>2020년 예산</t>
  </si>
  <si>
    <t>산출내역</t>
  </si>
  <si>
    <t>총계</t>
  </si>
  <si>
    <t>서비스제공사업</t>
  </si>
  <si>
    <t>서비스제공사업수입계</t>
  </si>
  <si>
    <t>시도보조금</t>
  </si>
  <si>
    <t>시도보조금계</t>
  </si>
  <si>
    <t>복지관 인건비</t>
  </si>
  <si>
    <t>복지관 운영비</t>
  </si>
  <si>
    <t>복지관사업비(재가복지,주민조직화)</t>
  </si>
  <si>
    <t>복지관 직원 복지포인트 지원비</t>
  </si>
  <si>
    <t>기타보조금</t>
  </si>
  <si>
    <t>기타보조금계</t>
  </si>
  <si>
    <t>푸드뱅크</t>
  </si>
  <si>
    <t>주민복지증진(건강도시사업)</t>
  </si>
  <si>
    <t>지정후원금</t>
  </si>
  <si>
    <t>지정후원금계</t>
  </si>
  <si>
    <t>지정(결연)후원금(명절, 재가복지 등)</t>
  </si>
  <si>
    <t>비지정후원금</t>
  </si>
  <si>
    <t>비지정후원금계</t>
  </si>
  <si>
    <t>법인전입금(후원금)</t>
  </si>
  <si>
    <t>법인전입금(후원금)계</t>
  </si>
  <si>
    <t>　이월금</t>
  </si>
  <si>
    <t>전년도이월금</t>
  </si>
  <si>
    <t>전년도이월금계</t>
  </si>
  <si>
    <t>전년도이월금(후원금)</t>
  </si>
  <si>
    <t>전년도이월금(후원금)계</t>
  </si>
  <si>
    <t>기타예금이자수입</t>
  </si>
  <si>
    <t>기타예금이자수입계</t>
  </si>
  <si>
    <t>기타잡수입</t>
  </si>
  <si>
    <t>기타잡수입계</t>
  </si>
  <si>
    <t>급여</t>
  </si>
  <si>
    <t>급여계</t>
  </si>
  <si>
    <t>제수당</t>
  </si>
  <si>
    <t>제수당계</t>
  </si>
  <si>
    <t>퇴직금 및 직적립금</t>
  </si>
  <si>
    <t>퇴직적립금계</t>
  </si>
  <si>
    <t>사회보험부담금</t>
  </si>
  <si>
    <t>사회보험계</t>
  </si>
  <si>
    <t>기타후생경비</t>
  </si>
  <si>
    <t>기타후생경비계</t>
  </si>
  <si>
    <t>기관운영비</t>
  </si>
  <si>
    <t>기관운영비계</t>
  </si>
  <si>
    <t>직책보조비</t>
  </si>
  <si>
    <t>직책보조비계</t>
  </si>
  <si>
    <t xml:space="preserve">관장 직책보조비 </t>
  </si>
  <si>
    <t>회의비</t>
  </si>
  <si>
    <t>회의비계</t>
  </si>
  <si>
    <t>여비</t>
  </si>
  <si>
    <t>여비계</t>
  </si>
  <si>
    <t>수용비 및 수수료</t>
  </si>
  <si>
    <t>수용비및수수료계</t>
  </si>
  <si>
    <t>공공요금</t>
  </si>
  <si>
    <t>공공요금계</t>
  </si>
  <si>
    <t>제세공과금</t>
  </si>
  <si>
    <t>제세공과금계</t>
  </si>
  <si>
    <t>차량비</t>
  </si>
  <si>
    <t>차량비계</t>
  </si>
  <si>
    <t>기타운영비</t>
  </si>
  <si>
    <t>기타운영비계</t>
  </si>
  <si>
    <t>자산취득비</t>
  </si>
  <si>
    <t>자산취득비계</t>
  </si>
  <si>
    <t>시설장비유지비</t>
  </si>
  <si>
    <t>시설장비유지비계</t>
  </si>
  <si>
    <t>사례관리사업비</t>
  </si>
  <si>
    <t>사례관리사업비계</t>
  </si>
  <si>
    <t>서비스제공사업비</t>
  </si>
  <si>
    <t>서비스제공사업비계</t>
  </si>
  <si>
    <t>보건의료사업비</t>
  </si>
  <si>
    <t>물품지원서비스</t>
  </si>
  <si>
    <t>실버케어서비스</t>
  </si>
  <si>
    <t>노인여가지도</t>
  </si>
  <si>
    <t>절기행사(추석)</t>
  </si>
  <si>
    <t>지정(결연)후원금</t>
  </si>
  <si>
    <t>홍보마케팅</t>
  </si>
  <si>
    <t>멘토링</t>
  </si>
  <si>
    <t>결식노인도시락</t>
  </si>
  <si>
    <t>경로식당</t>
  </si>
  <si>
    <t>지역조직화사업비</t>
  </si>
  <si>
    <t>지역조직화사업비계</t>
  </si>
  <si>
    <t>지역사회협력</t>
  </si>
  <si>
    <t>지역주민행사</t>
  </si>
  <si>
    <t>자원봉사조직관리</t>
  </si>
  <si>
    <t>자원봉사자 나들이</t>
  </si>
  <si>
    <t>후원자원봉사자의 밤</t>
  </si>
  <si>
    <t>지역조사</t>
  </si>
  <si>
    <t>후원자조직관리</t>
  </si>
  <si>
    <t>건강도시사업</t>
  </si>
  <si>
    <t>경로잔치</t>
  </si>
  <si>
    <t>장애인복지사업</t>
  </si>
  <si>
    <t>예비비</t>
  </si>
  <si>
    <t>예비비계</t>
  </si>
  <si>
    <t>반환금</t>
  </si>
  <si>
    <t>반환금계</t>
  </si>
  <si>
    <t xml:space="preserve">3) 세출내역 </t>
  </si>
  <si>
    <t>전년도이월금
(후원금)</t>
    <phoneticPr fontId="4" type="noConversion"/>
  </si>
  <si>
    <t>기타예금
이자수입</t>
    <phoneticPr fontId="4" type="noConversion"/>
  </si>
  <si>
    <t>법인전입금
(후원금)</t>
    <phoneticPr fontId="4" type="noConversion"/>
  </si>
  <si>
    <t>경로식당</t>
    <phoneticPr fontId="4" type="noConversion"/>
  </si>
  <si>
    <t>결식노인식사배달</t>
    <phoneticPr fontId="4" type="noConversion"/>
  </si>
  <si>
    <t>비지정후원금</t>
    <phoneticPr fontId="4" type="noConversion"/>
  </si>
  <si>
    <t>민관협력</t>
    <phoneticPr fontId="4" type="noConversion"/>
  </si>
  <si>
    <t>경로식당 유료급식 3,000*20명*19일</t>
    <phoneticPr fontId="4" type="noConversion"/>
  </si>
  <si>
    <t>관장 4,744,100×1.5개월</t>
    <phoneticPr fontId="4" type="noConversion"/>
  </si>
  <si>
    <t>부장 3,931,900×1.5개월</t>
    <phoneticPr fontId="4" type="noConversion"/>
  </si>
  <si>
    <t>1. 사회복지사 2,147,100×1.5개월</t>
    <phoneticPr fontId="4" type="noConversion"/>
  </si>
  <si>
    <t>2. 사회복지사 2,085,000×1.5개월</t>
    <phoneticPr fontId="4" type="noConversion"/>
  </si>
  <si>
    <t>3. 사회복지사 2,023,000×1.5개월×2명</t>
    <phoneticPr fontId="4" type="noConversion"/>
  </si>
  <si>
    <t>4. 사회복지사 1,963,900×1.5개월×3명</t>
    <phoneticPr fontId="4" type="noConversion"/>
  </si>
  <si>
    <t>5. 사회복지사 1,963,900×1개월</t>
    <phoneticPr fontId="4" type="noConversion"/>
  </si>
  <si>
    <t>8. 사회복지사 1,883,400×1.5개월</t>
    <phoneticPr fontId="4" type="noConversion"/>
  </si>
  <si>
    <t>조리사 1,340,040×1.5월</t>
    <phoneticPr fontId="4" type="noConversion"/>
  </si>
  <si>
    <t>과장 3,198,600×1.5개월</t>
    <phoneticPr fontId="4" type="noConversion"/>
  </si>
  <si>
    <t>시설관리인 2,654,200×1.5개월</t>
    <phoneticPr fontId="4" type="noConversion"/>
  </si>
  <si>
    <t>가족수당 120,000*1.5개월+
60,000*1.5개월+40,000*1.5개월*2명+20,000*1.5개월*2명</t>
    <phoneticPr fontId="4" type="noConversion"/>
  </si>
  <si>
    <t>복지포인트 12,500*14명</t>
    <phoneticPr fontId="4" type="noConversion"/>
  </si>
  <si>
    <t>7. 사회복지사 1,913,400×1.5개월×2명</t>
    <phoneticPr fontId="4" type="noConversion"/>
  </si>
  <si>
    <t>6. 사회복지사 1,913,400×0.5개월</t>
    <phoneticPr fontId="4" type="noConversion"/>
  </si>
  <si>
    <t>퇴직적립금 56,993,860/12</t>
    <phoneticPr fontId="4" type="noConversion"/>
  </si>
  <si>
    <t>국민연금 39,926,140*4.5%</t>
    <phoneticPr fontId="4" type="noConversion"/>
  </si>
  <si>
    <t>건강보험 39,926,140*3.335%</t>
    <phoneticPr fontId="4" type="noConversion"/>
  </si>
  <si>
    <t>고용보험 39,926,140*1.25%</t>
    <phoneticPr fontId="4" type="noConversion"/>
  </si>
  <si>
    <t>산재보험 39,926,140*0.91%</t>
    <phoneticPr fontId="4" type="noConversion"/>
  </si>
  <si>
    <t>장기요양보험 1331536.769*10.25%</t>
    <phoneticPr fontId="4" type="noConversion"/>
  </si>
  <si>
    <t>출장비</t>
    <phoneticPr fontId="4" type="noConversion"/>
  </si>
  <si>
    <t>(단위:원)</t>
    <phoneticPr fontId="4" type="noConversion"/>
  </si>
  <si>
    <t>전기요금 10,11월 577,388(본관)
전기요금 10,11월 300,450(분관)</t>
    <phoneticPr fontId="4" type="noConversion"/>
  </si>
  <si>
    <t>수도요금 10,11월 139,000(본관)
수도요금 10,11월 262,752(분관)</t>
    <phoneticPr fontId="4" type="noConversion"/>
  </si>
  <si>
    <t>신원보증보험</t>
    <phoneticPr fontId="4" type="noConversion"/>
  </si>
  <si>
    <t>차량보험료 5대</t>
    <phoneticPr fontId="4" type="noConversion"/>
  </si>
  <si>
    <t xml:space="preserve">보험료(승강기사고배상보험) </t>
    <phoneticPr fontId="4" type="noConversion"/>
  </si>
  <si>
    <t>자동차 취득세 및 인지세</t>
    <phoneticPr fontId="4" type="noConversion"/>
  </si>
  <si>
    <t>기능보강사업비</t>
    <phoneticPr fontId="4" type="noConversion"/>
  </si>
  <si>
    <t>운영자문위원회</t>
    <phoneticPr fontId="4" type="noConversion"/>
  </si>
  <si>
    <t>시설관리비(네트워크 설치 등)</t>
    <phoneticPr fontId="4" type="noConversion"/>
  </si>
  <si>
    <t>자산취득비(컴퓨터, 핸드폰, 음향장비 등)</t>
    <phoneticPr fontId="4" type="noConversion"/>
  </si>
  <si>
    <t>비지정후원금 이월금</t>
    <phoneticPr fontId="4" type="noConversion"/>
  </si>
  <si>
    <t>기관운영비 50,000</t>
    <phoneticPr fontId="4" type="noConversion"/>
  </si>
  <si>
    <t>운영위원회의 등 회의비</t>
    <phoneticPr fontId="4" type="noConversion"/>
  </si>
  <si>
    <t xml:space="preserve">신문구독료 </t>
    <phoneticPr fontId="4" type="noConversion"/>
  </si>
  <si>
    <t>복사기 임대비 110,000*1개월</t>
    <phoneticPr fontId="4" type="noConversion"/>
  </si>
  <si>
    <t>정수기 임대비 34,900*2개월
56,980*1개월</t>
    <phoneticPr fontId="4" type="noConversion"/>
  </si>
  <si>
    <t xml:space="preserve">방역소독비 </t>
    <phoneticPr fontId="4" type="noConversion"/>
  </si>
  <si>
    <t xml:space="preserve">여행배상책임보험 </t>
    <phoneticPr fontId="4" type="noConversion"/>
  </si>
  <si>
    <t>우편요금</t>
    <phoneticPr fontId="4" type="noConversion"/>
  </si>
  <si>
    <t>기타공공요금(냉난방)</t>
    <phoneticPr fontId="4" type="noConversion"/>
  </si>
  <si>
    <t>차량 유류비 200,000</t>
    <phoneticPr fontId="4" type="noConversion"/>
  </si>
  <si>
    <t>교육 연수비 52,000</t>
    <phoneticPr fontId="4" type="noConversion"/>
  </si>
  <si>
    <t>기타운영비</t>
    <phoneticPr fontId="4" type="noConversion"/>
  </si>
  <si>
    <t>경비용역료 297,000*2개월</t>
    <phoneticPr fontId="4" type="noConversion"/>
  </si>
  <si>
    <t>차량 유지보수비 346,000</t>
    <phoneticPr fontId="4" type="noConversion"/>
  </si>
  <si>
    <t>용역청소비 1,500,000</t>
    <phoneticPr fontId="4" type="noConversion"/>
  </si>
  <si>
    <t xml:space="preserve">사례관리비 </t>
    <phoneticPr fontId="4" type="noConversion"/>
  </si>
  <si>
    <t xml:space="preserve">사례회의비 </t>
    <phoneticPr fontId="4" type="noConversion"/>
  </si>
  <si>
    <t xml:space="preserve">수퍼비젼 자문비 </t>
    <phoneticPr fontId="4" type="noConversion"/>
  </si>
  <si>
    <t xml:space="preserve">상해보험가입 </t>
    <phoneticPr fontId="4" type="noConversion"/>
  </si>
  <si>
    <t>전입금 이월금</t>
    <phoneticPr fontId="4" type="noConversion"/>
  </si>
  <si>
    <t>기타수수료 200000</t>
    <phoneticPr fontId="4" type="noConversion"/>
  </si>
  <si>
    <t>통신요금(전화,인터넷) 300,000*1개월</t>
    <phoneticPr fontId="4" type="noConversion"/>
  </si>
  <si>
    <t>기타잡수입 이월금</t>
    <phoneticPr fontId="4" type="noConversion"/>
  </si>
  <si>
    <t>민관협력사업</t>
    <phoneticPr fontId="4" type="noConversion"/>
  </si>
  <si>
    <t>후원금 이월금</t>
    <phoneticPr fontId="4" type="noConversion"/>
  </si>
  <si>
    <t>당초</t>
    <phoneticPr fontId="4" type="noConversion"/>
  </si>
  <si>
    <t>추경</t>
    <phoneticPr fontId="4" type="noConversion"/>
  </si>
  <si>
    <t>금액</t>
    <phoneticPr fontId="4" type="noConversion"/>
  </si>
  <si>
    <t>비율(%)</t>
    <phoneticPr fontId="4" type="noConversion"/>
  </si>
  <si>
    <t>당초(A)</t>
    <phoneticPr fontId="4" type="noConversion"/>
  </si>
  <si>
    <t>추경(B)</t>
    <phoneticPr fontId="4" type="noConversion"/>
  </si>
  <si>
    <t>증감(B)-(A)</t>
    <phoneticPr fontId="4" type="noConversion"/>
  </si>
  <si>
    <t>증감액</t>
    <phoneticPr fontId="4" type="noConversion"/>
  </si>
  <si>
    <t>증감(%)</t>
    <phoneticPr fontId="4" type="noConversion"/>
  </si>
  <si>
    <t>복지수당</t>
    <phoneticPr fontId="4" type="noConversion"/>
  </si>
  <si>
    <t>수선비</t>
    <phoneticPr fontId="4" type="noConversion"/>
  </si>
  <si>
    <t>비고</t>
    <phoneticPr fontId="4" type="noConversion"/>
  </si>
  <si>
    <t>반환금 이월금</t>
    <phoneticPr fontId="4" type="noConversion"/>
  </si>
  <si>
    <t>사무용품 2,718,440</t>
    <phoneticPr fontId="4" type="noConversion"/>
  </si>
  <si>
    <t>예 산 총 칙</t>
  </si>
  <si>
    <t xml:space="preserve">                   제2조 1. 세입세출의 명세는 세입 · 세출 예산서와 같다. </t>
    <phoneticPr fontId="16" type="noConversion"/>
  </si>
  <si>
    <t xml:space="preserve">                            2. 세입의 주요재원은 다음과 같다.</t>
    <phoneticPr fontId="17" type="noConversion"/>
  </si>
  <si>
    <t>계</t>
    <phoneticPr fontId="17" type="noConversion"/>
  </si>
  <si>
    <t xml:space="preserve">                     3. 세출의 내용은 다음과 같다.</t>
    <phoneticPr fontId="4" type="noConversion"/>
  </si>
  <si>
    <t>예비비 및 기타</t>
    <phoneticPr fontId="17" type="noConversion"/>
  </si>
  <si>
    <t xml:space="preserve"> 제3조 예산비용이 긴박한 경우 시설의 장이 우선 집행하고 이사회의 결의를 얻도록 한다.</t>
    <phoneticPr fontId="16" type="noConversion"/>
  </si>
  <si>
    <t xml:space="preserve"> 제1조 사회복지법인 혜원 연제구연산종합사회복지관의 2020년도 추가경정 예산서 세입 · 세출 예산 총칙은       </t>
    <phoneticPr fontId="16" type="noConversion"/>
  </si>
  <si>
    <t xml:space="preserve">                                  각각 \167,389,385원(금일억육천칠백삼십팔만구천삼백팔십오원)으로 한다.</t>
    <phoneticPr fontId="4" type="noConversion"/>
  </si>
  <si>
    <t>계</t>
    <phoneticPr fontId="4" type="noConversion"/>
  </si>
  <si>
    <t>사업비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</si>
</sst>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b/>
      <sz val="36"/>
      <color indexed="8"/>
      <name val="굴림"/>
      <family val="3"/>
      <charset val="129"/>
    </font>
    <font>
      <sz val="12"/>
      <name val="굴림"/>
      <family val="3"/>
      <charset val="129"/>
    </font>
    <font>
      <sz val="18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/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41" fontId="2" fillId="0" borderId="14" xfId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justify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0" fontId="0" fillId="3" borderId="49" xfId="0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0" fillId="0" borderId="7" xfId="0" applyFill="1" applyBorder="1">
      <alignment vertical="center"/>
    </xf>
    <xf numFmtId="3" fontId="2" fillId="0" borderId="45" xfId="0" applyNumberFormat="1" applyFont="1" applyBorder="1" applyAlignment="1">
      <alignment horizontal="right" vertical="center" wrapText="1"/>
    </xf>
    <xf numFmtId="0" fontId="0" fillId="0" borderId="46" xfId="0" applyFill="1" applyBorder="1">
      <alignment vertical="center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" fontId="2" fillId="0" borderId="64" xfId="0" applyNumberFormat="1" applyFont="1" applyFill="1" applyBorder="1" applyAlignment="1">
      <alignment horizontal="right" vertical="center" wrapText="1"/>
    </xf>
    <xf numFmtId="3" fontId="2" fillId="0" borderId="62" xfId="0" applyNumberFormat="1" applyFont="1" applyFill="1" applyBorder="1" applyAlignment="1">
      <alignment horizontal="right" vertical="center" wrapText="1"/>
    </xf>
    <xf numFmtId="0" fontId="0" fillId="0" borderId="24" xfId="0" applyFill="1" applyBorder="1">
      <alignment vertical="center"/>
    </xf>
    <xf numFmtId="0" fontId="0" fillId="0" borderId="21" xfId="0" applyFill="1" applyBorder="1">
      <alignment vertical="center"/>
    </xf>
    <xf numFmtId="0" fontId="2" fillId="0" borderId="63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0" fontId="0" fillId="0" borderId="13" xfId="0" applyFill="1" applyBorder="1">
      <alignment vertical="center"/>
    </xf>
    <xf numFmtId="0" fontId="2" fillId="0" borderId="65" xfId="0" applyFont="1" applyFill="1" applyBorder="1" applyAlignment="1">
      <alignment horizontal="right" vertical="center" wrapText="1"/>
    </xf>
    <xf numFmtId="3" fontId="2" fillId="0" borderId="45" xfId="0" applyNumberFormat="1" applyFont="1" applyFill="1" applyBorder="1" applyAlignment="1">
      <alignment horizontal="right" vertical="center" wrapText="1"/>
    </xf>
    <xf numFmtId="3" fontId="0" fillId="0" borderId="67" xfId="0" applyNumberFormat="1" applyFill="1" applyBorder="1">
      <alignment vertical="center"/>
    </xf>
    <xf numFmtId="0" fontId="0" fillId="0" borderId="68" xfId="0" applyFill="1" applyBorder="1">
      <alignment vertical="center"/>
    </xf>
    <xf numFmtId="0" fontId="0" fillId="0" borderId="69" xfId="0" applyFill="1" applyBorder="1">
      <alignment vertical="center"/>
    </xf>
    <xf numFmtId="3" fontId="2" fillId="0" borderId="67" xfId="0" applyNumberFormat="1" applyFont="1" applyBorder="1" applyAlignment="1">
      <alignment horizontal="right" vertical="center"/>
    </xf>
    <xf numFmtId="0" fontId="0" fillId="0" borderId="63" xfId="0" applyFill="1" applyBorder="1">
      <alignment vertical="center"/>
    </xf>
    <xf numFmtId="3" fontId="2" fillId="0" borderId="62" xfId="0" applyNumberFormat="1" applyFont="1" applyBorder="1" applyAlignment="1">
      <alignment horizontal="right" vertical="center" wrapText="1"/>
    </xf>
    <xf numFmtId="0" fontId="0" fillId="0" borderId="20" xfId="0" applyFill="1" applyBorder="1">
      <alignment vertical="center"/>
    </xf>
    <xf numFmtId="3" fontId="2" fillId="0" borderId="68" xfId="0" applyNumberFormat="1" applyFont="1" applyFill="1" applyBorder="1" applyAlignment="1">
      <alignment horizontal="right" vertical="center" wrapText="1"/>
    </xf>
    <xf numFmtId="3" fontId="2" fillId="0" borderId="61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2" fillId="0" borderId="66" xfId="0" applyNumberFormat="1" applyFont="1" applyBorder="1" applyAlignment="1">
      <alignment horizontal="right" vertical="center"/>
    </xf>
    <xf numFmtId="3" fontId="2" fillId="0" borderId="67" xfId="0" applyNumberFormat="1" applyFont="1" applyFill="1" applyBorder="1" applyAlignment="1">
      <alignment horizontal="right" vertical="center" wrapText="1"/>
    </xf>
    <xf numFmtId="0" fontId="0" fillId="0" borderId="47" xfId="0" applyFill="1" applyBorder="1">
      <alignment vertical="center"/>
    </xf>
    <xf numFmtId="3" fontId="2" fillId="0" borderId="65" xfId="0" applyNumberFormat="1" applyFont="1" applyFill="1" applyBorder="1" applyAlignment="1">
      <alignment horizontal="right" vertical="center" wrapText="1"/>
    </xf>
    <xf numFmtId="0" fontId="0" fillId="0" borderId="31" xfId="0" applyFill="1" applyBorder="1">
      <alignment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0" fillId="0" borderId="70" xfId="0" applyFill="1" applyBorder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41" fontId="8" fillId="0" borderId="23" xfId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3" fontId="0" fillId="0" borderId="0" xfId="0" applyNumberFormat="1">
      <alignment vertical="center"/>
    </xf>
    <xf numFmtId="0" fontId="2" fillId="0" borderId="25" xfId="0" applyFont="1" applyFill="1" applyBorder="1" applyAlignment="1">
      <alignment horizontal="justify" vertical="center" wrapText="1"/>
    </xf>
    <xf numFmtId="0" fontId="0" fillId="0" borderId="25" xfId="0" applyFill="1" applyBorder="1">
      <alignment vertical="center"/>
    </xf>
    <xf numFmtId="0" fontId="2" fillId="0" borderId="25" xfId="0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12" fillId="0" borderId="72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1" fillId="0" borderId="0" xfId="2"/>
    <xf numFmtId="41" fontId="0" fillId="0" borderId="0" xfId="3" applyFont="1"/>
    <xf numFmtId="0" fontId="15" fillId="0" borderId="0" xfId="2" applyFont="1" applyAlignment="1">
      <alignment horizontal="center" vertical="center"/>
    </xf>
    <xf numFmtId="0" fontId="11" fillId="0" borderId="0" xfId="2" applyAlignment="1">
      <alignment horizontal="left"/>
    </xf>
    <xf numFmtId="0" fontId="15" fillId="0" borderId="75" xfId="2" applyFont="1" applyBorder="1" applyAlignment="1">
      <alignment vertical="center"/>
    </xf>
    <xf numFmtId="0" fontId="15" fillId="0" borderId="0" xfId="2" applyFont="1" applyAlignment="1">
      <alignment vertical="center"/>
    </xf>
    <xf numFmtId="41" fontId="15" fillId="0" borderId="0" xfId="2" applyNumberFormat="1" applyFont="1" applyAlignment="1">
      <alignment vertical="center"/>
    </xf>
    <xf numFmtId="0" fontId="15" fillId="0" borderId="76" xfId="2" applyFont="1" applyBorder="1" applyAlignment="1">
      <alignment horizontal="center" vertical="center"/>
    </xf>
    <xf numFmtId="0" fontId="15" fillId="0" borderId="76" xfId="2" applyFont="1" applyBorder="1" applyAlignment="1">
      <alignment vertical="center"/>
    </xf>
    <xf numFmtId="41" fontId="11" fillId="0" borderId="0" xfId="1" applyFont="1" applyAlignment="1"/>
    <xf numFmtId="41" fontId="11" fillId="0" borderId="0" xfId="2" applyNumberFormat="1"/>
    <xf numFmtId="41" fontId="15" fillId="0" borderId="0" xfId="2" applyNumberFormat="1" applyFont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41" fontId="15" fillId="0" borderId="0" xfId="2" applyNumberFormat="1" applyFont="1" applyAlignment="1">
      <alignment horizontal="center" vertical="center"/>
    </xf>
    <xf numFmtId="41" fontId="15" fillId="0" borderId="76" xfId="2" applyNumberFormat="1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75" xfId="2" applyFont="1" applyBorder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15" fillId="0" borderId="76" xfId="2" applyFont="1" applyBorder="1" applyAlignment="1">
      <alignment horizontal="left" vertical="center" wrapText="1"/>
    </xf>
    <xf numFmtId="0" fontId="13" fillId="0" borderId="7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76" xfId="2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0" fontId="5" fillId="3" borderId="5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3" xr:uid="{8AD1E883-4E1E-4A57-A294-2A1890F49E04}"/>
    <cellStyle name="표준" xfId="0" builtinId="0"/>
    <cellStyle name="표준 2" xfId="2" xr:uid="{4B6B22ED-24A9-424D-A0D5-A68013F21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5351-4497-4123-ADCA-040F366E126D}">
  <sheetPr>
    <pageSetUpPr fitToPage="1"/>
  </sheetPr>
  <dimension ref="A1:K31"/>
  <sheetViews>
    <sheetView view="pageBreakPreview" zoomScale="70" zoomScaleSheetLayoutView="70" workbookViewId="0">
      <selection activeCell="A26" sqref="A1:H26"/>
    </sheetView>
  </sheetViews>
  <sheetFormatPr defaultRowHeight="13.5" x14ac:dyDescent="0.15"/>
  <cols>
    <col min="1" max="1" width="5.375" style="178" customWidth="1"/>
    <col min="2" max="2" width="35.625" style="178" customWidth="1"/>
    <col min="3" max="7" width="25.625" style="178" customWidth="1"/>
    <col min="8" max="8" width="4.25" style="178" customWidth="1"/>
    <col min="9" max="9" width="9" style="178"/>
    <col min="10" max="10" width="17.625" style="178" bestFit="1" customWidth="1"/>
    <col min="11" max="11" width="17.375" style="178" bestFit="1" customWidth="1"/>
    <col min="12" max="16384" width="9" style="178"/>
  </cols>
  <sheetData>
    <row r="1" spans="1:11" ht="16.5" customHeight="1" x14ac:dyDescent="0.15">
      <c r="A1" s="175"/>
      <c r="B1" s="176"/>
      <c r="C1" s="176"/>
      <c r="D1" s="176"/>
      <c r="E1" s="176"/>
      <c r="F1" s="176"/>
      <c r="G1" s="176"/>
      <c r="H1" s="177"/>
    </row>
    <row r="2" spans="1:11" ht="46.5" x14ac:dyDescent="0.15">
      <c r="A2" s="203" t="s">
        <v>201</v>
      </c>
      <c r="B2" s="204"/>
      <c r="C2" s="204"/>
      <c r="D2" s="204"/>
      <c r="E2" s="204"/>
      <c r="F2" s="204"/>
      <c r="G2" s="204"/>
      <c r="H2" s="205"/>
    </row>
    <row r="3" spans="1:11" ht="24.95" customHeight="1" x14ac:dyDescent="0.15">
      <c r="A3" s="206"/>
      <c r="B3" s="207"/>
      <c r="C3" s="207"/>
      <c r="D3" s="207"/>
      <c r="E3" s="207"/>
      <c r="F3" s="207"/>
      <c r="G3" s="207"/>
      <c r="H3" s="208"/>
    </row>
    <row r="4" spans="1:11" ht="27" customHeight="1" x14ac:dyDescent="0.3">
      <c r="A4" s="209" t="s">
        <v>208</v>
      </c>
      <c r="B4" s="210"/>
      <c r="C4" s="210"/>
      <c r="D4" s="210"/>
      <c r="E4" s="210"/>
      <c r="F4" s="210"/>
      <c r="G4" s="210"/>
      <c r="H4" s="211"/>
      <c r="J4" s="179"/>
    </row>
    <row r="5" spans="1:11" ht="28.5" customHeight="1" x14ac:dyDescent="0.3">
      <c r="A5" s="200" t="s">
        <v>209</v>
      </c>
      <c r="B5" s="201"/>
      <c r="C5" s="201"/>
      <c r="D5" s="201"/>
      <c r="E5" s="201"/>
      <c r="F5" s="201"/>
      <c r="G5" s="201"/>
      <c r="H5" s="202"/>
      <c r="K5" s="179"/>
    </row>
    <row r="6" spans="1:11" ht="23.25" customHeight="1" x14ac:dyDescent="0.15">
      <c r="A6" s="191"/>
      <c r="B6" s="192"/>
      <c r="C6" s="192"/>
      <c r="D6" s="192"/>
      <c r="E6" s="192"/>
      <c r="F6" s="192"/>
      <c r="G6" s="192"/>
      <c r="H6" s="195"/>
    </row>
    <row r="7" spans="1:11" ht="35.25" customHeight="1" x14ac:dyDescent="0.15">
      <c r="A7" s="200" t="s">
        <v>202</v>
      </c>
      <c r="B7" s="201"/>
      <c r="C7" s="201"/>
      <c r="D7" s="201"/>
      <c r="E7" s="201"/>
      <c r="F7" s="201"/>
      <c r="G7" s="201"/>
      <c r="H7" s="202"/>
    </row>
    <row r="8" spans="1:11" ht="29.25" customHeight="1" x14ac:dyDescent="0.15">
      <c r="A8" s="200" t="s">
        <v>203</v>
      </c>
      <c r="B8" s="201"/>
      <c r="C8" s="201"/>
      <c r="D8" s="201"/>
      <c r="E8" s="201"/>
      <c r="F8" s="201"/>
      <c r="G8" s="201"/>
      <c r="H8" s="202"/>
    </row>
    <row r="9" spans="1:11" ht="14.25" customHeight="1" x14ac:dyDescent="0.15">
      <c r="A9" s="191"/>
      <c r="B9" s="192"/>
      <c r="C9" s="192"/>
      <c r="D9" s="192"/>
      <c r="E9" s="192"/>
      <c r="F9" s="192"/>
      <c r="G9" s="192"/>
      <c r="H9" s="195"/>
    </row>
    <row r="10" spans="1:11" ht="24.95" customHeight="1" x14ac:dyDescent="0.15">
      <c r="A10" s="191"/>
      <c r="B10" s="192"/>
      <c r="C10" s="180" t="s">
        <v>9</v>
      </c>
      <c r="D10" s="193">
        <f>총괄표!D7</f>
        <v>1140000</v>
      </c>
      <c r="E10" s="193"/>
      <c r="F10" s="192"/>
      <c r="G10" s="192"/>
      <c r="H10" s="195"/>
      <c r="K10" s="181"/>
    </row>
    <row r="11" spans="1:11" ht="24.95" customHeight="1" x14ac:dyDescent="0.15">
      <c r="A11" s="191"/>
      <c r="B11" s="192"/>
      <c r="C11" s="180" t="s">
        <v>12</v>
      </c>
      <c r="D11" s="193">
        <f>총괄표!D9</f>
        <v>157687160</v>
      </c>
      <c r="E11" s="193"/>
      <c r="F11" s="192"/>
      <c r="G11" s="192"/>
      <c r="H11" s="195"/>
    </row>
    <row r="12" spans="1:11" ht="24.95" customHeight="1" x14ac:dyDescent="0.15">
      <c r="A12" s="191"/>
      <c r="B12" s="192"/>
      <c r="C12" s="180" t="s">
        <v>14</v>
      </c>
      <c r="D12" s="193">
        <f>총괄표!D10</f>
        <v>3293980</v>
      </c>
      <c r="E12" s="193"/>
      <c r="F12" s="192"/>
      <c r="G12" s="192"/>
      <c r="H12" s="195"/>
    </row>
    <row r="13" spans="1:11" ht="24.95" customHeight="1" x14ac:dyDescent="0.15">
      <c r="A13" s="191"/>
      <c r="B13" s="192"/>
      <c r="C13" s="180" t="s">
        <v>16</v>
      </c>
      <c r="D13" s="193">
        <f>총괄표!D11</f>
        <v>5061710</v>
      </c>
      <c r="E13" s="193"/>
      <c r="F13" s="192"/>
      <c r="G13" s="192"/>
      <c r="H13" s="195"/>
    </row>
    <row r="14" spans="1:11" ht="24.95" customHeight="1" x14ac:dyDescent="0.15">
      <c r="A14" s="191"/>
      <c r="B14" s="192"/>
      <c r="C14" s="180" t="s">
        <v>19</v>
      </c>
      <c r="D14" s="193">
        <f>총괄표!D12</f>
        <v>0</v>
      </c>
      <c r="E14" s="193"/>
      <c r="F14" s="192"/>
      <c r="G14" s="192"/>
      <c r="H14" s="195"/>
    </row>
    <row r="15" spans="1:11" ht="24.95" customHeight="1" x14ac:dyDescent="0.15">
      <c r="A15" s="191"/>
      <c r="B15" s="192"/>
      <c r="C15" s="180" t="s">
        <v>21</v>
      </c>
      <c r="D15" s="193">
        <f>총괄표!D13</f>
        <v>206535</v>
      </c>
      <c r="E15" s="193"/>
      <c r="F15" s="192"/>
      <c r="G15" s="192"/>
      <c r="H15" s="195"/>
    </row>
    <row r="16" spans="1:11" ht="24.95" customHeight="1" x14ac:dyDescent="0.15">
      <c r="A16" s="191"/>
      <c r="B16" s="192"/>
      <c r="C16" s="180" t="s">
        <v>210</v>
      </c>
      <c r="D16" s="193">
        <f>SUM(D10:E15)</f>
        <v>167389385</v>
      </c>
      <c r="E16" s="193"/>
      <c r="F16" s="193"/>
      <c r="G16" s="193"/>
      <c r="H16" s="194"/>
    </row>
    <row r="17" spans="1:10" ht="21.75" customHeight="1" x14ac:dyDescent="0.15">
      <c r="A17" s="182"/>
      <c r="B17" s="183"/>
      <c r="C17" s="180"/>
      <c r="D17" s="180"/>
      <c r="E17" s="180"/>
      <c r="F17" s="184"/>
      <c r="G17" s="184"/>
      <c r="H17" s="185"/>
    </row>
    <row r="18" spans="1:10" ht="24" customHeight="1" x14ac:dyDescent="0.15">
      <c r="A18" s="182"/>
      <c r="B18" s="199" t="s">
        <v>205</v>
      </c>
      <c r="C18" s="199"/>
      <c r="D18" s="199"/>
      <c r="E18" s="199"/>
      <c r="F18" s="199"/>
      <c r="G18" s="199"/>
      <c r="H18" s="186"/>
    </row>
    <row r="19" spans="1:10" ht="14.25" customHeight="1" x14ac:dyDescent="0.15">
      <c r="A19" s="191"/>
      <c r="B19" s="192"/>
      <c r="C19" s="192"/>
      <c r="D19" s="192"/>
      <c r="E19" s="192"/>
      <c r="F19" s="192"/>
      <c r="G19" s="192"/>
      <c r="H19" s="195"/>
      <c r="J19" s="187"/>
    </row>
    <row r="20" spans="1:10" ht="24.95" customHeight="1" x14ac:dyDescent="0.15">
      <c r="A20" s="191"/>
      <c r="B20" s="192"/>
      <c r="C20" s="180" t="s">
        <v>10</v>
      </c>
      <c r="D20" s="193">
        <f>SUM(총괄표!J7+총괄표!J9+총괄표!J10)</f>
        <v>79182407.21182251</v>
      </c>
      <c r="E20" s="193"/>
      <c r="F20" s="192"/>
      <c r="G20" s="192"/>
      <c r="H20" s="195"/>
      <c r="J20" s="187"/>
    </row>
    <row r="21" spans="1:10" ht="24.95" customHeight="1" x14ac:dyDescent="0.15">
      <c r="A21" s="191"/>
      <c r="B21" s="192"/>
      <c r="C21" s="180" t="s">
        <v>17</v>
      </c>
      <c r="D21" s="193">
        <f>총괄표!J11</f>
        <v>51611500</v>
      </c>
      <c r="E21" s="193"/>
      <c r="F21" s="192"/>
      <c r="G21" s="192"/>
      <c r="H21" s="195"/>
      <c r="J21" s="187"/>
    </row>
    <row r="22" spans="1:10" ht="24.95" customHeight="1" x14ac:dyDescent="0.15">
      <c r="A22" s="190"/>
      <c r="B22" s="180"/>
      <c r="C22" s="180" t="s">
        <v>211</v>
      </c>
      <c r="D22" s="189"/>
      <c r="E22" s="189">
        <f>총괄표!J12</f>
        <v>22523593</v>
      </c>
      <c r="F22" s="180"/>
      <c r="G22" s="180"/>
      <c r="H22" s="185"/>
      <c r="J22" s="187"/>
    </row>
    <row r="23" spans="1:10" ht="24.95" customHeight="1" x14ac:dyDescent="0.15">
      <c r="A23" s="191"/>
      <c r="B23" s="192"/>
      <c r="C23" s="180" t="s">
        <v>206</v>
      </c>
      <c r="D23" s="193">
        <f>총괄표!J13</f>
        <v>14071885</v>
      </c>
      <c r="E23" s="193"/>
      <c r="F23" s="193"/>
      <c r="G23" s="193"/>
      <c r="H23" s="194"/>
    </row>
    <row r="24" spans="1:10" ht="24.95" customHeight="1" x14ac:dyDescent="0.15">
      <c r="A24" s="191"/>
      <c r="B24" s="192"/>
      <c r="C24" s="180" t="s">
        <v>204</v>
      </c>
      <c r="D24" s="193">
        <f>SUM(D20:E23)</f>
        <v>167389385.21182251</v>
      </c>
      <c r="E24" s="193"/>
      <c r="F24" s="193"/>
      <c r="G24" s="193"/>
      <c r="H24" s="194"/>
    </row>
    <row r="25" spans="1:10" ht="18.75" customHeight="1" x14ac:dyDescent="0.15">
      <c r="A25" s="191"/>
      <c r="B25" s="192"/>
      <c r="C25" s="192"/>
      <c r="D25" s="192"/>
      <c r="E25" s="192"/>
      <c r="F25" s="192"/>
      <c r="G25" s="192"/>
      <c r="H25" s="195"/>
    </row>
    <row r="26" spans="1:10" ht="27.75" customHeight="1" thickBot="1" x14ac:dyDescent="0.2">
      <c r="A26" s="196" t="s">
        <v>207</v>
      </c>
      <c r="B26" s="197"/>
      <c r="C26" s="197"/>
      <c r="D26" s="197"/>
      <c r="E26" s="197"/>
      <c r="F26" s="197"/>
      <c r="G26" s="197"/>
      <c r="H26" s="198"/>
    </row>
    <row r="31" spans="1:10" x14ac:dyDescent="0.15">
      <c r="E31" s="188"/>
    </row>
  </sheetData>
  <mergeCells count="45">
    <mergeCell ref="A11:B11"/>
    <mergeCell ref="D11:E11"/>
    <mergeCell ref="F11:H1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D10:E10"/>
    <mergeCell ref="F10:H10"/>
    <mergeCell ref="A12:B12"/>
    <mergeCell ref="D12:E12"/>
    <mergeCell ref="F12:H12"/>
    <mergeCell ref="A13:B13"/>
    <mergeCell ref="D13:E13"/>
    <mergeCell ref="F13:H13"/>
    <mergeCell ref="A20:B20"/>
    <mergeCell ref="D20:E20"/>
    <mergeCell ref="F20:H20"/>
    <mergeCell ref="A14:B14"/>
    <mergeCell ref="D14:E14"/>
    <mergeCell ref="F14:H14"/>
    <mergeCell ref="A15:B15"/>
    <mergeCell ref="D15:E15"/>
    <mergeCell ref="F15:H15"/>
    <mergeCell ref="A16:B16"/>
    <mergeCell ref="D16:E16"/>
    <mergeCell ref="F16:H16"/>
    <mergeCell ref="B18:G18"/>
    <mergeCell ref="A19:H19"/>
    <mergeCell ref="A23:B23"/>
    <mergeCell ref="D23:E23"/>
    <mergeCell ref="F23:H23"/>
    <mergeCell ref="A21:B21"/>
    <mergeCell ref="D21:E21"/>
    <mergeCell ref="F21:H21"/>
    <mergeCell ref="A24:B24"/>
    <mergeCell ref="D24:E24"/>
    <mergeCell ref="F24:H24"/>
    <mergeCell ref="A25:H25"/>
    <mergeCell ref="A26:H26"/>
  </mergeCells>
  <phoneticPr fontId="4" type="noConversion"/>
  <printOptions horizontalCentered="1" verticalCentered="1"/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987C-BF75-4F6F-9FD0-05A7260B6172}">
  <sheetPr>
    <pageSetUpPr fitToPage="1"/>
  </sheetPr>
  <dimension ref="A1:N16"/>
  <sheetViews>
    <sheetView workbookViewId="0">
      <selection sqref="A1:L1"/>
    </sheetView>
  </sheetViews>
  <sheetFormatPr defaultRowHeight="16.5" x14ac:dyDescent="0.3"/>
  <cols>
    <col min="1" max="1" width="12.25" customWidth="1"/>
    <col min="2" max="2" width="12.75" customWidth="1"/>
    <col min="3" max="3" width="14.25" customWidth="1"/>
    <col min="4" max="4" width="14" customWidth="1"/>
    <col min="5" max="5" width="13.25" customWidth="1"/>
    <col min="6" max="6" width="10.125" customWidth="1"/>
    <col min="7" max="7" width="13.625" customWidth="1"/>
    <col min="8" max="8" width="14.75" customWidth="1"/>
    <col min="9" max="9" width="12.75" customWidth="1"/>
    <col min="10" max="10" width="14.75" customWidth="1"/>
    <col min="11" max="11" width="13.25" customWidth="1"/>
    <col min="12" max="12" width="10.25" bestFit="1" customWidth="1"/>
    <col min="14" max="14" width="9.25" bestFit="1" customWidth="1"/>
  </cols>
  <sheetData>
    <row r="1" spans="1:14" ht="35.25" customHeight="1" x14ac:dyDescent="0.3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8"/>
      <c r="N1" s="8"/>
    </row>
    <row r="2" spans="1:14" ht="18" thickBot="1" x14ac:dyDescent="0.35">
      <c r="A2" t="s">
        <v>1</v>
      </c>
      <c r="L2" s="2" t="s">
        <v>2</v>
      </c>
    </row>
    <row r="3" spans="1:14" ht="17.25" customHeight="1" x14ac:dyDescent="0.3">
      <c r="A3" s="243" t="s">
        <v>3</v>
      </c>
      <c r="B3" s="244"/>
      <c r="C3" s="244"/>
      <c r="D3" s="244"/>
      <c r="E3" s="244"/>
      <c r="F3" s="245"/>
      <c r="G3" s="246" t="s">
        <v>4</v>
      </c>
      <c r="H3" s="244"/>
      <c r="I3" s="244"/>
      <c r="J3" s="244"/>
      <c r="K3" s="244"/>
      <c r="L3" s="245"/>
    </row>
    <row r="4" spans="1:14" ht="17.25" customHeight="1" x14ac:dyDescent="0.3">
      <c r="A4" s="239" t="s">
        <v>5</v>
      </c>
      <c r="B4" s="241" t="s">
        <v>6</v>
      </c>
      <c r="C4" s="223" t="s">
        <v>7</v>
      </c>
      <c r="D4" s="238"/>
      <c r="E4" s="223" t="s">
        <v>193</v>
      </c>
      <c r="F4" s="224"/>
      <c r="G4" s="247" t="s">
        <v>5</v>
      </c>
      <c r="H4" s="249" t="s">
        <v>6</v>
      </c>
      <c r="I4" s="213" t="s">
        <v>7</v>
      </c>
      <c r="J4" s="213"/>
      <c r="K4" s="213" t="s">
        <v>193</v>
      </c>
      <c r="L4" s="221"/>
    </row>
    <row r="5" spans="1:14" ht="17.25" thickBot="1" x14ac:dyDescent="0.35">
      <c r="A5" s="240"/>
      <c r="B5" s="242"/>
      <c r="C5" s="89" t="s">
        <v>191</v>
      </c>
      <c r="D5" s="89" t="s">
        <v>192</v>
      </c>
      <c r="E5" s="89" t="s">
        <v>189</v>
      </c>
      <c r="F5" s="96" t="s">
        <v>190</v>
      </c>
      <c r="G5" s="248"/>
      <c r="H5" s="250"/>
      <c r="I5" s="89" t="s">
        <v>191</v>
      </c>
      <c r="J5" s="89" t="s">
        <v>192</v>
      </c>
      <c r="K5" s="89" t="s">
        <v>189</v>
      </c>
      <c r="L5" s="96" t="s">
        <v>190</v>
      </c>
    </row>
    <row r="6" spans="1:14" ht="23.25" customHeight="1" thickTop="1" x14ac:dyDescent="0.3">
      <c r="A6" s="226" t="s">
        <v>8</v>
      </c>
      <c r="B6" s="227"/>
      <c r="C6" s="102">
        <v>257185000</v>
      </c>
      <c r="D6" s="103">
        <f>SUM(D7:D13)</f>
        <v>167389385</v>
      </c>
      <c r="E6" s="91">
        <f>D6-C6</f>
        <v>-89795615</v>
      </c>
      <c r="F6" s="97">
        <f>E6/C6*100</f>
        <v>-34.914794797519292</v>
      </c>
      <c r="G6" s="228" t="s">
        <v>8</v>
      </c>
      <c r="H6" s="229"/>
      <c r="I6" s="91">
        <v>257185000</v>
      </c>
      <c r="J6" s="91">
        <f>세출내역서!E5</f>
        <v>167389385.21182251</v>
      </c>
      <c r="K6" s="91">
        <f>J6-I6</f>
        <v>-89795614.78817749</v>
      </c>
      <c r="L6" s="97">
        <f>K6/I6*100</f>
        <v>-34.91479471515737</v>
      </c>
      <c r="N6" s="169"/>
    </row>
    <row r="7" spans="1:14" ht="18" customHeight="1" x14ac:dyDescent="0.3">
      <c r="A7" s="230" t="s">
        <v>9</v>
      </c>
      <c r="B7" s="232" t="s">
        <v>9</v>
      </c>
      <c r="C7" s="215">
        <v>3187500</v>
      </c>
      <c r="D7" s="234">
        <f>세입내역서!E6</f>
        <v>1140000</v>
      </c>
      <c r="E7" s="217">
        <f>D7-C7</f>
        <v>-2047500</v>
      </c>
      <c r="F7" s="219">
        <f t="shared" ref="F7" si="0">E7/C7*100</f>
        <v>-64.235294117647058</v>
      </c>
      <c r="G7" s="236" t="s">
        <v>10</v>
      </c>
      <c r="H7" s="237" t="s">
        <v>11</v>
      </c>
      <c r="I7" s="222">
        <v>144493970</v>
      </c>
      <c r="J7" s="214">
        <f>세출내역서!E7</f>
        <v>66045447.211822502</v>
      </c>
      <c r="K7" s="214">
        <f t="shared" ref="K7:K13" si="1">J7-I7</f>
        <v>-78448522.78817749</v>
      </c>
      <c r="L7" s="212">
        <f t="shared" ref="L7:L12" si="2">K7/I7*100</f>
        <v>-54.291900754181988</v>
      </c>
    </row>
    <row r="8" spans="1:14" ht="17.25" customHeight="1" x14ac:dyDescent="0.3">
      <c r="A8" s="231"/>
      <c r="B8" s="233"/>
      <c r="C8" s="216"/>
      <c r="D8" s="235"/>
      <c r="E8" s="218"/>
      <c r="F8" s="220"/>
      <c r="G8" s="236"/>
      <c r="H8" s="237"/>
      <c r="I8" s="222"/>
      <c r="J8" s="214"/>
      <c r="K8" s="214"/>
      <c r="L8" s="212"/>
    </row>
    <row r="9" spans="1:14" ht="24" customHeight="1" x14ac:dyDescent="0.3">
      <c r="A9" s="92" t="s">
        <v>12</v>
      </c>
      <c r="B9" s="3" t="s">
        <v>12</v>
      </c>
      <c r="C9" s="104">
        <v>177287500</v>
      </c>
      <c r="D9" s="105">
        <f>세입내역서!E10</f>
        <v>157687160</v>
      </c>
      <c r="E9" s="90">
        <f>D9-C9</f>
        <v>-19600340</v>
      </c>
      <c r="F9" s="98">
        <f>E9/C9*100</f>
        <v>-11.055680744553339</v>
      </c>
      <c r="G9" s="236"/>
      <c r="H9" s="100" t="s">
        <v>13</v>
      </c>
      <c r="I9" s="90">
        <v>700000</v>
      </c>
      <c r="J9" s="90">
        <f>세출내역서!E36</f>
        <v>50000</v>
      </c>
      <c r="K9" s="90">
        <f t="shared" si="1"/>
        <v>-650000</v>
      </c>
      <c r="L9" s="98">
        <f t="shared" si="2"/>
        <v>-92.857142857142861</v>
      </c>
    </row>
    <row r="10" spans="1:14" ht="17.25" x14ac:dyDescent="0.3">
      <c r="A10" s="92" t="s">
        <v>14</v>
      </c>
      <c r="B10" s="3" t="s">
        <v>14</v>
      </c>
      <c r="C10" s="104">
        <v>26700000</v>
      </c>
      <c r="D10" s="105">
        <f>세입내역서!E24</f>
        <v>3293980</v>
      </c>
      <c r="E10" s="90">
        <f t="shared" ref="E10:E13" si="3">D10-C10</f>
        <v>-23406020</v>
      </c>
      <c r="F10" s="98">
        <f t="shared" ref="F10" si="4">E10/C10*100</f>
        <v>-87.662996254681644</v>
      </c>
      <c r="G10" s="236"/>
      <c r="H10" s="100" t="s">
        <v>15</v>
      </c>
      <c r="I10" s="90">
        <v>13400000</v>
      </c>
      <c r="J10" s="90">
        <f>세출내역서!E43</f>
        <v>13086960</v>
      </c>
      <c r="K10" s="90">
        <f t="shared" si="1"/>
        <v>-313040</v>
      </c>
      <c r="L10" s="98">
        <f t="shared" si="2"/>
        <v>-2.3361194029850747</v>
      </c>
    </row>
    <row r="11" spans="1:14" ht="17.25" x14ac:dyDescent="0.3">
      <c r="A11" s="92" t="s">
        <v>16</v>
      </c>
      <c r="B11" s="3" t="s">
        <v>16</v>
      </c>
      <c r="C11" s="104">
        <v>50000000</v>
      </c>
      <c r="D11" s="105">
        <f>세입내역서!E31</f>
        <v>5061710</v>
      </c>
      <c r="E11" s="90">
        <f t="shared" si="3"/>
        <v>-44938290</v>
      </c>
      <c r="F11" s="98">
        <f>E11/C11*100</f>
        <v>-89.87657999999999</v>
      </c>
      <c r="G11" s="110" t="s">
        <v>17</v>
      </c>
      <c r="H11" s="100" t="s">
        <v>18</v>
      </c>
      <c r="I11" s="90">
        <v>26695000</v>
      </c>
      <c r="J11" s="90">
        <f>세출내역서!E74</f>
        <v>51611500</v>
      </c>
      <c r="K11" s="90">
        <f t="shared" si="1"/>
        <v>24916500</v>
      </c>
      <c r="L11" s="98">
        <f t="shared" si="2"/>
        <v>93.337703689829553</v>
      </c>
    </row>
    <row r="12" spans="1:14" ht="20.25" customHeight="1" x14ac:dyDescent="0.3">
      <c r="A12" s="92" t="s">
        <v>19</v>
      </c>
      <c r="B12" s="3" t="s">
        <v>19</v>
      </c>
      <c r="C12" s="106">
        <v>0</v>
      </c>
      <c r="D12" s="107">
        <f>세입내역서!E35</f>
        <v>0</v>
      </c>
      <c r="E12" s="90">
        <f t="shared" si="3"/>
        <v>0</v>
      </c>
      <c r="F12" s="98">
        <v>0</v>
      </c>
      <c r="G12" s="110" t="s">
        <v>20</v>
      </c>
      <c r="H12" s="100" t="s">
        <v>20</v>
      </c>
      <c r="I12" s="90">
        <v>71650000</v>
      </c>
      <c r="J12" s="90">
        <f>세출내역서!E80</f>
        <v>22523593</v>
      </c>
      <c r="K12" s="90">
        <f t="shared" si="1"/>
        <v>-49126407</v>
      </c>
      <c r="L12" s="98">
        <f t="shared" si="2"/>
        <v>-68.564420097697138</v>
      </c>
    </row>
    <row r="13" spans="1:14" ht="25.5" customHeight="1" thickBot="1" x14ac:dyDescent="0.35">
      <c r="A13" s="93" t="s">
        <v>21</v>
      </c>
      <c r="B13" s="94" t="s">
        <v>21</v>
      </c>
      <c r="C13" s="108">
        <v>10000</v>
      </c>
      <c r="D13" s="109">
        <f>세입내역서!E40</f>
        <v>206535</v>
      </c>
      <c r="E13" s="95">
        <f t="shared" si="3"/>
        <v>196535</v>
      </c>
      <c r="F13" s="99">
        <v>0</v>
      </c>
      <c r="G13" s="111" t="s">
        <v>22</v>
      </c>
      <c r="H13" s="101" t="s">
        <v>22</v>
      </c>
      <c r="I13" s="95">
        <v>246030</v>
      </c>
      <c r="J13" s="95">
        <f>세출내역서!E112</f>
        <v>14071885</v>
      </c>
      <c r="K13" s="95">
        <f t="shared" si="1"/>
        <v>13825855</v>
      </c>
      <c r="L13" s="99">
        <f>K13/I13*100</f>
        <v>5619.5809454131613</v>
      </c>
    </row>
    <row r="14" spans="1:14" ht="16.5" customHeight="1" x14ac:dyDescent="0.3"/>
    <row r="16" spans="1:14" x14ac:dyDescent="0.3">
      <c r="D16">
        <v>167389385</v>
      </c>
    </row>
  </sheetData>
  <mergeCells count="25">
    <mergeCell ref="A1:L1"/>
    <mergeCell ref="A6:B6"/>
    <mergeCell ref="G6:H6"/>
    <mergeCell ref="A7:A8"/>
    <mergeCell ref="B7:B8"/>
    <mergeCell ref="D7:D8"/>
    <mergeCell ref="G7:G10"/>
    <mergeCell ref="H7:H8"/>
    <mergeCell ref="C4:D4"/>
    <mergeCell ref="A4:A5"/>
    <mergeCell ref="B4:B5"/>
    <mergeCell ref="A3:F3"/>
    <mergeCell ref="G3:L3"/>
    <mergeCell ref="G4:G5"/>
    <mergeCell ref="H4:H5"/>
    <mergeCell ref="K7:K8"/>
    <mergeCell ref="L7:L8"/>
    <mergeCell ref="I4:J4"/>
    <mergeCell ref="J7:J8"/>
    <mergeCell ref="C7:C8"/>
    <mergeCell ref="E7:E8"/>
    <mergeCell ref="F7:F8"/>
    <mergeCell ref="K4:L4"/>
    <mergeCell ref="I7:I8"/>
    <mergeCell ref="E4:F4"/>
  </mergeCells>
  <phoneticPr fontId="4" type="noConversion"/>
  <pageMargins left="0.98425196850393704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764C-45F6-44BD-ABB7-73206DFA5CB3}">
  <sheetPr>
    <pageSetUpPr fitToPage="1"/>
  </sheetPr>
  <dimension ref="A1:M46"/>
  <sheetViews>
    <sheetView tabSelected="1" workbookViewId="0">
      <selection activeCell="L41" sqref="L41"/>
    </sheetView>
  </sheetViews>
  <sheetFormatPr defaultRowHeight="16.5" x14ac:dyDescent="0.3"/>
  <cols>
    <col min="1" max="1" width="9.625" style="1" customWidth="1"/>
    <col min="2" max="2" width="10.625" style="1" customWidth="1"/>
    <col min="3" max="3" width="12.75" style="1" customWidth="1"/>
    <col min="4" max="6" width="12.875" customWidth="1"/>
    <col min="7" max="7" width="7.375" bestFit="1" customWidth="1"/>
    <col min="8" max="8" width="29.25" customWidth="1"/>
    <col min="9" max="9" width="10.125" customWidth="1"/>
    <col min="10" max="10" width="10.25" bestFit="1" customWidth="1"/>
    <col min="12" max="12" width="24.875" bestFit="1" customWidth="1"/>
    <col min="13" max="13" width="10.25" bestFit="1" customWidth="1"/>
  </cols>
  <sheetData>
    <row r="1" spans="1:13" ht="20.25" x14ac:dyDescent="0.3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13" ht="17.25" x14ac:dyDescent="0.3">
      <c r="A2" s="4" t="s">
        <v>23</v>
      </c>
      <c r="H2" s="5" t="s">
        <v>2</v>
      </c>
    </row>
    <row r="3" spans="1:13" x14ac:dyDescent="0.3">
      <c r="A3" s="256" t="s">
        <v>5</v>
      </c>
      <c r="B3" s="256" t="s">
        <v>6</v>
      </c>
      <c r="C3" s="256" t="s">
        <v>24</v>
      </c>
      <c r="D3" s="257" t="s">
        <v>25</v>
      </c>
      <c r="E3" s="257"/>
      <c r="F3" s="257"/>
      <c r="G3" s="258"/>
      <c r="H3" s="259" t="s">
        <v>26</v>
      </c>
      <c r="I3" s="259" t="s">
        <v>198</v>
      </c>
    </row>
    <row r="4" spans="1:13" x14ac:dyDescent="0.3">
      <c r="A4" s="256"/>
      <c r="B4" s="256"/>
      <c r="C4" s="256"/>
      <c r="D4" s="7" t="s">
        <v>187</v>
      </c>
      <c r="E4" s="7" t="s">
        <v>188</v>
      </c>
      <c r="F4" s="7" t="s">
        <v>194</v>
      </c>
      <c r="G4" s="7" t="s">
        <v>195</v>
      </c>
      <c r="H4" s="260"/>
      <c r="I4" s="260"/>
    </row>
    <row r="5" spans="1:13" s="24" customFormat="1" x14ac:dyDescent="0.3">
      <c r="A5" s="251" t="s">
        <v>27</v>
      </c>
      <c r="B5" s="252"/>
      <c r="C5" s="253"/>
      <c r="D5" s="162">
        <v>257185000</v>
      </c>
      <c r="E5" s="163">
        <f>E6+E10+E24+E31+E35+E40</f>
        <v>167389385</v>
      </c>
      <c r="F5" s="163">
        <f>E5-D5</f>
        <v>-89795615</v>
      </c>
      <c r="G5" s="163">
        <f>F5/D5*100</f>
        <v>-34.914794797519292</v>
      </c>
      <c r="H5" s="167"/>
      <c r="I5" s="66"/>
      <c r="M5" s="25"/>
    </row>
    <row r="6" spans="1:13" s="24" customFormat="1" x14ac:dyDescent="0.3">
      <c r="A6" s="67" t="s">
        <v>9</v>
      </c>
      <c r="B6" s="68"/>
      <c r="C6" s="69"/>
      <c r="D6" s="117">
        <v>3187500</v>
      </c>
      <c r="E6" s="10">
        <f>E7</f>
        <v>1140000</v>
      </c>
      <c r="F6" s="28">
        <f t="shared" ref="F6:F44" si="0">E6-D6</f>
        <v>-2047500</v>
      </c>
      <c r="G6" s="136">
        <f t="shared" ref="G6:G42" si="1">F6/D6*100</f>
        <v>-64.235294117647058</v>
      </c>
      <c r="H6" s="18"/>
      <c r="I6" s="53"/>
    </row>
    <row r="7" spans="1:13" s="24" customFormat="1" x14ac:dyDescent="0.3">
      <c r="A7" s="67"/>
      <c r="B7" s="70" t="s">
        <v>9</v>
      </c>
      <c r="C7" s="71" t="s">
        <v>28</v>
      </c>
      <c r="D7" s="125">
        <v>3187500</v>
      </c>
      <c r="E7" s="152">
        <f>I8</f>
        <v>1140000</v>
      </c>
      <c r="F7" s="152">
        <f t="shared" si="0"/>
        <v>-2047500</v>
      </c>
      <c r="G7" s="137">
        <f t="shared" si="1"/>
        <v>-64.235294117647058</v>
      </c>
      <c r="H7" s="18"/>
      <c r="I7" s="165"/>
    </row>
    <row r="8" spans="1:13" s="24" customFormat="1" x14ac:dyDescent="0.3">
      <c r="A8" s="254"/>
      <c r="B8" s="254"/>
      <c r="C8" s="71"/>
      <c r="D8" s="147"/>
      <c r="E8" s="133"/>
      <c r="F8" s="133"/>
      <c r="H8" s="46" t="s">
        <v>29</v>
      </c>
      <c r="I8" s="10">
        <f>I9</f>
        <v>1140000</v>
      </c>
    </row>
    <row r="9" spans="1:13" s="24" customFormat="1" x14ac:dyDescent="0.3">
      <c r="A9" s="255"/>
      <c r="B9" s="255"/>
      <c r="C9" s="140"/>
      <c r="D9" s="157"/>
      <c r="E9" s="157"/>
      <c r="F9" s="157"/>
      <c r="H9" s="18" t="s">
        <v>127</v>
      </c>
      <c r="I9" s="10">
        <v>1140000</v>
      </c>
    </row>
    <row r="10" spans="1:13" s="24" customFormat="1" x14ac:dyDescent="0.3">
      <c r="A10" s="70" t="s">
        <v>12</v>
      </c>
      <c r="B10" s="73"/>
      <c r="C10" s="74"/>
      <c r="D10" s="116">
        <v>177287500</v>
      </c>
      <c r="E10" s="28">
        <f>E11</f>
        <v>157687160</v>
      </c>
      <c r="F10" s="28">
        <f t="shared" si="0"/>
        <v>-19600340</v>
      </c>
      <c r="G10" s="136">
        <f t="shared" si="1"/>
        <v>-11.055680744553339</v>
      </c>
      <c r="H10" s="18"/>
      <c r="I10" s="16"/>
    </row>
    <row r="11" spans="1:13" s="24" customFormat="1" x14ac:dyDescent="0.3">
      <c r="A11" s="67"/>
      <c r="B11" s="70" t="s">
        <v>12</v>
      </c>
      <c r="C11" s="68"/>
      <c r="D11" s="117">
        <v>177287500</v>
      </c>
      <c r="E11" s="10">
        <f>E12+E18</f>
        <v>157687160</v>
      </c>
      <c r="F11" s="28">
        <f t="shared" si="0"/>
        <v>-19600340</v>
      </c>
      <c r="G11" s="136">
        <f t="shared" si="1"/>
        <v>-11.055680744553339</v>
      </c>
      <c r="H11" s="18"/>
      <c r="I11" s="16"/>
    </row>
    <row r="12" spans="1:13" s="24" customFormat="1" x14ac:dyDescent="0.3">
      <c r="A12" s="67"/>
      <c r="B12" s="67"/>
      <c r="C12" s="70" t="s">
        <v>30</v>
      </c>
      <c r="D12" s="118">
        <v>158850000</v>
      </c>
      <c r="E12" s="75">
        <f>I12</f>
        <v>141096660</v>
      </c>
      <c r="F12" s="11">
        <f t="shared" si="0"/>
        <v>-17753340</v>
      </c>
      <c r="G12" s="123">
        <f t="shared" si="1"/>
        <v>-11.176166194523136</v>
      </c>
      <c r="H12" s="46" t="s">
        <v>31</v>
      </c>
      <c r="I12" s="10">
        <f>SUM(I13:I17)</f>
        <v>141096660</v>
      </c>
    </row>
    <row r="13" spans="1:13" s="24" customFormat="1" x14ac:dyDescent="0.3">
      <c r="A13" s="67"/>
      <c r="B13" s="67"/>
      <c r="C13" s="67"/>
      <c r="D13" s="124"/>
      <c r="E13" s="33"/>
      <c r="F13" s="22"/>
      <c r="G13" s="121"/>
      <c r="H13" s="18" t="s">
        <v>32</v>
      </c>
      <c r="I13" s="10">
        <v>68125000</v>
      </c>
      <c r="J13" s="25"/>
      <c r="L13" s="25"/>
    </row>
    <row r="14" spans="1:13" s="24" customFormat="1" x14ac:dyDescent="0.3">
      <c r="A14" s="67"/>
      <c r="B14" s="67"/>
      <c r="C14" s="67"/>
      <c r="E14" s="33"/>
      <c r="F14" s="75"/>
      <c r="G14" s="23"/>
      <c r="H14" s="18" t="s">
        <v>33</v>
      </c>
      <c r="I14" s="10">
        <f>13998460+600000</f>
        <v>14598460</v>
      </c>
    </row>
    <row r="15" spans="1:13" s="24" customFormat="1" x14ac:dyDescent="0.3">
      <c r="A15" s="67"/>
      <c r="B15" s="67"/>
      <c r="C15" s="67"/>
      <c r="E15" s="33"/>
      <c r="F15" s="75"/>
      <c r="G15" s="121"/>
      <c r="H15" s="18" t="s">
        <v>34</v>
      </c>
      <c r="I15" s="10">
        <v>8198200</v>
      </c>
      <c r="L15" s="25"/>
    </row>
    <row r="16" spans="1:13" s="24" customFormat="1" x14ac:dyDescent="0.3">
      <c r="A16" s="67"/>
      <c r="B16" s="67"/>
      <c r="C16" s="67"/>
      <c r="E16" s="33"/>
      <c r="F16" s="75"/>
      <c r="G16" s="121"/>
      <c r="H16" s="18" t="s">
        <v>35</v>
      </c>
      <c r="I16" s="10">
        <v>175000</v>
      </c>
    </row>
    <row r="17" spans="1:13" s="24" customFormat="1" x14ac:dyDescent="0.3">
      <c r="A17" s="67"/>
      <c r="B17" s="67"/>
      <c r="C17" s="76"/>
      <c r="D17" s="157"/>
      <c r="E17" s="39"/>
      <c r="F17" s="156"/>
      <c r="G17" s="164"/>
      <c r="H17" s="168" t="s">
        <v>157</v>
      </c>
      <c r="I17" s="21">
        <v>50000000</v>
      </c>
    </row>
    <row r="18" spans="1:13" s="24" customFormat="1" x14ac:dyDescent="0.3">
      <c r="A18" s="67"/>
      <c r="B18" s="67"/>
      <c r="C18" s="67" t="s">
        <v>36</v>
      </c>
      <c r="D18" s="119">
        <v>18437500</v>
      </c>
      <c r="E18" s="159">
        <f>I18</f>
        <v>16590500</v>
      </c>
      <c r="F18" s="15">
        <f t="shared" si="0"/>
        <v>-1847000</v>
      </c>
      <c r="G18" s="137">
        <f t="shared" si="1"/>
        <v>-10.017627118644068</v>
      </c>
      <c r="H18" s="46" t="s">
        <v>37</v>
      </c>
      <c r="I18" s="10">
        <f>SUM(I19:I23)</f>
        <v>16590500</v>
      </c>
    </row>
    <row r="19" spans="1:13" s="24" customFormat="1" x14ac:dyDescent="0.3">
      <c r="A19" s="67"/>
      <c r="B19" s="67"/>
      <c r="C19" s="67"/>
      <c r="E19" s="33"/>
      <c r="F19" s="75"/>
      <c r="G19" s="121"/>
      <c r="H19" s="18" t="s">
        <v>123</v>
      </c>
      <c r="I19" s="10">
        <v>5289650</v>
      </c>
    </row>
    <row r="20" spans="1:13" s="24" customFormat="1" x14ac:dyDescent="0.3">
      <c r="A20" s="67"/>
      <c r="B20" s="67"/>
      <c r="C20" s="67"/>
      <c r="E20" s="33"/>
      <c r="F20" s="22"/>
      <c r="G20" s="121"/>
      <c r="H20" s="18" t="s">
        <v>124</v>
      </c>
      <c r="I20" s="10">
        <v>4638540</v>
      </c>
      <c r="M20" s="25"/>
    </row>
    <row r="21" spans="1:13" s="24" customFormat="1" x14ac:dyDescent="0.3">
      <c r="A21" s="67"/>
      <c r="B21" s="67"/>
      <c r="C21" s="67"/>
      <c r="E21" s="33"/>
      <c r="F21" s="75"/>
      <c r="G21" s="121"/>
      <c r="H21" s="18" t="s">
        <v>38</v>
      </c>
      <c r="I21" s="22">
        <v>2446910</v>
      </c>
      <c r="L21" s="25"/>
    </row>
    <row r="22" spans="1:13" s="24" customFormat="1" x14ac:dyDescent="0.3">
      <c r="A22" s="67"/>
      <c r="B22" s="67"/>
      <c r="C22" s="67"/>
      <c r="E22" s="55"/>
      <c r="F22" s="158"/>
      <c r="G22" s="121"/>
      <c r="H22" s="18" t="s">
        <v>126</v>
      </c>
      <c r="I22" s="77">
        <v>4215400</v>
      </c>
      <c r="L22" s="25"/>
    </row>
    <row r="23" spans="1:13" s="24" customFormat="1" x14ac:dyDescent="0.3">
      <c r="A23" s="67"/>
      <c r="B23" s="67"/>
      <c r="C23" s="67"/>
      <c r="E23" s="33"/>
      <c r="F23" s="138"/>
      <c r="G23" s="164"/>
      <c r="H23" s="18" t="s">
        <v>39</v>
      </c>
      <c r="I23" s="22">
        <v>0</v>
      </c>
    </row>
    <row r="24" spans="1:13" s="24" customFormat="1" x14ac:dyDescent="0.3">
      <c r="A24" s="78" t="s">
        <v>14</v>
      </c>
      <c r="B24" s="79"/>
      <c r="C24" s="80"/>
      <c r="D24" s="116">
        <v>26700000</v>
      </c>
      <c r="E24" s="9">
        <f>E25</f>
        <v>3293980</v>
      </c>
      <c r="F24" s="28">
        <f t="shared" si="0"/>
        <v>-23406020</v>
      </c>
      <c r="G24" s="136">
        <f t="shared" si="1"/>
        <v>-87.662996254681644</v>
      </c>
      <c r="H24" s="18"/>
      <c r="I24" s="81"/>
    </row>
    <row r="25" spans="1:13" s="24" customFormat="1" x14ac:dyDescent="0.3">
      <c r="A25" s="82"/>
      <c r="B25" s="67" t="s">
        <v>14</v>
      </c>
      <c r="C25" s="69"/>
      <c r="D25" s="117">
        <v>26700000</v>
      </c>
      <c r="E25" s="10">
        <f>E26+E28</f>
        <v>3293980</v>
      </c>
      <c r="F25" s="28">
        <f t="shared" si="0"/>
        <v>-23406020</v>
      </c>
      <c r="G25" s="136">
        <f t="shared" si="1"/>
        <v>-87.662996254681644</v>
      </c>
      <c r="H25" s="18"/>
      <c r="I25" s="83"/>
    </row>
    <row r="26" spans="1:13" s="24" customFormat="1" x14ac:dyDescent="0.3">
      <c r="A26" s="82"/>
      <c r="B26" s="67"/>
      <c r="C26" s="70" t="s">
        <v>40</v>
      </c>
      <c r="D26" s="119">
        <v>12700000</v>
      </c>
      <c r="E26" s="11">
        <f>I26</f>
        <v>100000</v>
      </c>
      <c r="F26" s="11">
        <f t="shared" si="0"/>
        <v>-12600000</v>
      </c>
      <c r="G26" s="123">
        <f t="shared" si="1"/>
        <v>-99.212598425196859</v>
      </c>
      <c r="H26" s="46" t="s">
        <v>41</v>
      </c>
      <c r="I26" s="13">
        <v>100000</v>
      </c>
    </row>
    <row r="27" spans="1:13" s="24" customFormat="1" x14ac:dyDescent="0.3">
      <c r="A27" s="82"/>
      <c r="B27" s="67"/>
      <c r="C27" s="68"/>
      <c r="E27" s="12"/>
      <c r="F27" s="10"/>
      <c r="G27" s="139"/>
      <c r="H27" s="18" t="s">
        <v>42</v>
      </c>
      <c r="I27" s="13">
        <v>100000</v>
      </c>
    </row>
    <row r="28" spans="1:13" s="24" customFormat="1" x14ac:dyDescent="0.3">
      <c r="A28" s="82"/>
      <c r="B28" s="67"/>
      <c r="C28" s="70" t="s">
        <v>43</v>
      </c>
      <c r="D28" s="119">
        <v>14000000</v>
      </c>
      <c r="E28" s="11">
        <f>I28</f>
        <v>3193980</v>
      </c>
      <c r="F28" s="15">
        <f t="shared" si="0"/>
        <v>-10806020</v>
      </c>
      <c r="G28" s="137">
        <f t="shared" si="1"/>
        <v>-77.185857142857145</v>
      </c>
      <c r="H28" s="46" t="s">
        <v>44</v>
      </c>
      <c r="I28" s="13">
        <f>SUM(I29:I30)</f>
        <v>3193980</v>
      </c>
    </row>
    <row r="29" spans="1:13" s="24" customFormat="1" x14ac:dyDescent="0.3">
      <c r="A29" s="82"/>
      <c r="B29" s="67"/>
      <c r="C29" s="67"/>
      <c r="E29" s="33"/>
      <c r="F29" s="75"/>
      <c r="G29" s="121"/>
      <c r="H29" s="18" t="s">
        <v>161</v>
      </c>
      <c r="I29" s="13">
        <v>3133980</v>
      </c>
    </row>
    <row r="30" spans="1:13" s="24" customFormat="1" x14ac:dyDescent="0.3">
      <c r="A30" s="84"/>
      <c r="B30" s="85"/>
      <c r="C30" s="85"/>
      <c r="E30" s="160"/>
      <c r="F30" s="10"/>
      <c r="G30" s="164"/>
      <c r="H30" s="18" t="s">
        <v>125</v>
      </c>
      <c r="I30" s="14">
        <v>60000</v>
      </c>
    </row>
    <row r="31" spans="1:13" s="24" customFormat="1" x14ac:dyDescent="0.3">
      <c r="A31" s="67" t="s">
        <v>16</v>
      </c>
      <c r="B31" s="68"/>
      <c r="C31" s="69"/>
      <c r="D31" s="116">
        <v>50000000</v>
      </c>
      <c r="E31" s="10">
        <f>E32</f>
        <v>5061710</v>
      </c>
      <c r="F31" s="28">
        <f t="shared" si="0"/>
        <v>-44938290</v>
      </c>
      <c r="G31" s="136">
        <f t="shared" si="1"/>
        <v>-89.87657999999999</v>
      </c>
      <c r="H31" s="18"/>
      <c r="I31" s="16"/>
    </row>
    <row r="32" spans="1:13" s="24" customFormat="1" x14ac:dyDescent="0.3">
      <c r="A32" s="67"/>
      <c r="B32" s="70" t="s">
        <v>16</v>
      </c>
      <c r="C32" s="68"/>
      <c r="D32" s="117">
        <v>50000000</v>
      </c>
      <c r="E32" s="10">
        <f>E33</f>
        <v>5061710</v>
      </c>
      <c r="F32" s="28">
        <f t="shared" si="0"/>
        <v>-44938290</v>
      </c>
      <c r="G32" s="136">
        <f t="shared" si="1"/>
        <v>-89.87657999999999</v>
      </c>
      <c r="H32" s="18"/>
      <c r="I32" s="16"/>
    </row>
    <row r="33" spans="1:9" s="24" customFormat="1" ht="27" x14ac:dyDescent="0.3">
      <c r="A33" s="67"/>
      <c r="B33" s="67"/>
      <c r="C33" s="70" t="s">
        <v>122</v>
      </c>
      <c r="D33" s="120">
        <v>50000000</v>
      </c>
      <c r="E33" s="15">
        <f>I33</f>
        <v>5061710</v>
      </c>
      <c r="F33" s="15">
        <f t="shared" si="0"/>
        <v>-44938290</v>
      </c>
      <c r="G33" s="123">
        <f t="shared" si="1"/>
        <v>-89.87657999999999</v>
      </c>
      <c r="H33" s="46" t="s">
        <v>46</v>
      </c>
      <c r="I33" s="10">
        <f>I34</f>
        <v>5061710</v>
      </c>
    </row>
    <row r="34" spans="1:9" s="24" customFormat="1" x14ac:dyDescent="0.3">
      <c r="A34" s="68"/>
      <c r="B34" s="68"/>
      <c r="C34" s="68"/>
      <c r="D34" s="144"/>
      <c r="E34" s="16"/>
      <c r="F34" s="138"/>
      <c r="G34" s="139"/>
      <c r="H34" s="18" t="s">
        <v>45</v>
      </c>
      <c r="I34" s="10">
        <v>5061710</v>
      </c>
    </row>
    <row r="35" spans="1:9" s="24" customFormat="1" x14ac:dyDescent="0.3">
      <c r="A35" s="70" t="s">
        <v>47</v>
      </c>
      <c r="B35" s="73"/>
      <c r="C35" s="74"/>
      <c r="D35" s="154">
        <v>0</v>
      </c>
      <c r="E35" s="30">
        <v>0</v>
      </c>
      <c r="F35" s="28">
        <v>0</v>
      </c>
      <c r="G35" s="136">
        <v>0</v>
      </c>
      <c r="H35" s="18"/>
      <c r="I35" s="16"/>
    </row>
    <row r="36" spans="1:9" s="24" customFormat="1" x14ac:dyDescent="0.3">
      <c r="A36" s="67"/>
      <c r="B36" s="70" t="s">
        <v>47</v>
      </c>
      <c r="C36" s="70" t="s">
        <v>48</v>
      </c>
      <c r="D36" s="154">
        <v>0</v>
      </c>
      <c r="E36" s="43">
        <v>0</v>
      </c>
      <c r="F36" s="11">
        <v>0</v>
      </c>
      <c r="G36" s="137">
        <v>0</v>
      </c>
      <c r="H36" s="46" t="s">
        <v>49</v>
      </c>
      <c r="I36" s="16">
        <v>0</v>
      </c>
    </row>
    <row r="37" spans="1:9" s="24" customFormat="1" x14ac:dyDescent="0.3">
      <c r="A37" s="67"/>
      <c r="B37" s="67"/>
      <c r="C37" s="68"/>
      <c r="D37" s="144"/>
      <c r="E37" s="16"/>
      <c r="F37" s="10"/>
      <c r="G37" s="164"/>
      <c r="H37" s="18" t="s">
        <v>48</v>
      </c>
      <c r="I37" s="16">
        <v>0</v>
      </c>
    </row>
    <row r="38" spans="1:9" s="24" customFormat="1" ht="27" x14ac:dyDescent="0.3">
      <c r="A38" s="67"/>
      <c r="B38" s="67"/>
      <c r="C38" s="70" t="s">
        <v>120</v>
      </c>
      <c r="D38" s="154">
        <v>0</v>
      </c>
      <c r="E38" s="43">
        <v>0</v>
      </c>
      <c r="F38" s="15">
        <v>0</v>
      </c>
      <c r="G38" s="123">
        <v>0</v>
      </c>
      <c r="H38" s="46" t="s">
        <v>51</v>
      </c>
      <c r="I38" s="16">
        <v>0</v>
      </c>
    </row>
    <row r="39" spans="1:9" s="24" customFormat="1" x14ac:dyDescent="0.3">
      <c r="A39" s="68"/>
      <c r="B39" s="68"/>
      <c r="C39" s="68"/>
      <c r="D39" s="126"/>
      <c r="E39" s="16"/>
      <c r="F39" s="138"/>
      <c r="G39" s="139"/>
      <c r="H39" s="18" t="s">
        <v>50</v>
      </c>
      <c r="I39" s="16">
        <v>0</v>
      </c>
    </row>
    <row r="40" spans="1:9" s="24" customFormat="1" x14ac:dyDescent="0.3">
      <c r="A40" s="70" t="s">
        <v>21</v>
      </c>
      <c r="B40" s="73"/>
      <c r="C40" s="74"/>
      <c r="D40" s="116">
        <v>10000</v>
      </c>
      <c r="E40" s="28">
        <f>E41</f>
        <v>206535</v>
      </c>
      <c r="F40" s="28">
        <f t="shared" si="0"/>
        <v>196535</v>
      </c>
      <c r="G40" s="136">
        <f t="shared" si="1"/>
        <v>1965.3500000000001</v>
      </c>
      <c r="H40" s="18"/>
      <c r="I40" s="16"/>
    </row>
    <row r="41" spans="1:9" s="24" customFormat="1" x14ac:dyDescent="0.3">
      <c r="A41" s="67"/>
      <c r="B41" s="67" t="s">
        <v>21</v>
      </c>
      <c r="C41" s="69"/>
      <c r="D41" s="117">
        <v>10000</v>
      </c>
      <c r="E41" s="10">
        <f>SUM(E42,E44)</f>
        <v>206535</v>
      </c>
      <c r="F41" s="28">
        <f t="shared" si="0"/>
        <v>196535</v>
      </c>
      <c r="G41" s="136">
        <f t="shared" si="1"/>
        <v>1965.3500000000001</v>
      </c>
      <c r="H41" s="18"/>
      <c r="I41" s="16"/>
    </row>
    <row r="42" spans="1:9" s="24" customFormat="1" ht="27" x14ac:dyDescent="0.3">
      <c r="A42" s="67"/>
      <c r="B42" s="67"/>
      <c r="C42" s="70" t="s">
        <v>121</v>
      </c>
      <c r="D42" s="120">
        <v>10000</v>
      </c>
      <c r="E42" s="15">
        <v>10000</v>
      </c>
      <c r="F42" s="15">
        <v>0</v>
      </c>
      <c r="G42" s="123">
        <f t="shared" si="1"/>
        <v>0</v>
      </c>
      <c r="H42" s="46" t="s">
        <v>53</v>
      </c>
      <c r="I42" s="22"/>
    </row>
    <row r="43" spans="1:9" s="24" customFormat="1" x14ac:dyDescent="0.3">
      <c r="A43" s="67"/>
      <c r="B43" s="67"/>
      <c r="C43" s="68"/>
      <c r="E43" s="141"/>
      <c r="F43" s="138"/>
      <c r="G43" s="139"/>
      <c r="H43" s="18" t="s">
        <v>52</v>
      </c>
      <c r="I43" s="166">
        <v>10000</v>
      </c>
    </row>
    <row r="44" spans="1:9" s="24" customFormat="1" x14ac:dyDescent="0.3">
      <c r="A44" s="67"/>
      <c r="B44" s="67"/>
      <c r="C44" s="70" t="s">
        <v>54</v>
      </c>
      <c r="D44" s="154">
        <v>0</v>
      </c>
      <c r="E44" s="15">
        <f>I45</f>
        <v>196535</v>
      </c>
      <c r="F44" s="11">
        <f t="shared" si="0"/>
        <v>196535</v>
      </c>
      <c r="G44" s="123">
        <v>0</v>
      </c>
      <c r="H44" s="46" t="s">
        <v>55</v>
      </c>
      <c r="I44" s="10">
        <f>I45</f>
        <v>196535</v>
      </c>
    </row>
    <row r="45" spans="1:9" s="24" customFormat="1" x14ac:dyDescent="0.3">
      <c r="A45" s="68"/>
      <c r="B45" s="68"/>
      <c r="C45" s="68"/>
      <c r="D45" s="145"/>
      <c r="E45" s="16"/>
      <c r="F45" s="10"/>
      <c r="G45" s="139"/>
      <c r="H45" s="18" t="s">
        <v>54</v>
      </c>
      <c r="I45" s="10">
        <f>167130+29405</f>
        <v>196535</v>
      </c>
    </row>
    <row r="46" spans="1:9" s="24" customFormat="1" x14ac:dyDescent="0.3">
      <c r="A46" s="86"/>
      <c r="B46" s="86"/>
      <c r="C46" s="86"/>
      <c r="D46" s="161"/>
    </row>
  </sheetData>
  <mergeCells count="10">
    <mergeCell ref="A1:I1"/>
    <mergeCell ref="A5:C5"/>
    <mergeCell ref="A8:A9"/>
    <mergeCell ref="B8:B9"/>
    <mergeCell ref="A3:A4"/>
    <mergeCell ref="B3:B4"/>
    <mergeCell ref="C3:C4"/>
    <mergeCell ref="D3:G3"/>
    <mergeCell ref="H3:H4"/>
    <mergeCell ref="I3:I4"/>
  </mergeCells>
  <phoneticPr fontId="4" type="noConversion"/>
  <pageMargins left="0.70866141732283472" right="0.70866141732283472" top="1.1811023622047245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7F06-FAB9-4028-AAB3-21C3FE74B935}">
  <sheetPr>
    <pageSetUpPr fitToPage="1"/>
  </sheetPr>
  <dimension ref="A1:N123"/>
  <sheetViews>
    <sheetView workbookViewId="0">
      <selection sqref="A1:I122"/>
    </sheetView>
  </sheetViews>
  <sheetFormatPr defaultRowHeight="16.5" x14ac:dyDescent="0.3"/>
  <cols>
    <col min="1" max="1" width="11.25" customWidth="1"/>
    <col min="2" max="2" width="10.875" customWidth="1"/>
    <col min="3" max="3" width="17.75" customWidth="1"/>
    <col min="4" max="4" width="13" customWidth="1"/>
    <col min="5" max="6" width="12.875" customWidth="1"/>
    <col min="7" max="7" width="7.375" bestFit="1" customWidth="1"/>
    <col min="8" max="8" width="31.25" bestFit="1" customWidth="1"/>
    <col min="9" max="9" width="11.875" customWidth="1"/>
    <col min="10" max="10" width="13.625" customWidth="1"/>
    <col min="11" max="14" width="10.25" bestFit="1" customWidth="1"/>
  </cols>
  <sheetData>
    <row r="1" spans="1:12" ht="30.75" customHeight="1" x14ac:dyDescent="0.3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12" ht="17.25" x14ac:dyDescent="0.3">
      <c r="A2" s="4" t="s">
        <v>119</v>
      </c>
      <c r="H2" s="5" t="s">
        <v>150</v>
      </c>
    </row>
    <row r="3" spans="1:12" x14ac:dyDescent="0.3">
      <c r="A3" s="6" t="s">
        <v>5</v>
      </c>
      <c r="B3" s="7" t="s">
        <v>6</v>
      </c>
      <c r="C3" s="7" t="s">
        <v>24</v>
      </c>
      <c r="D3" s="264" t="s">
        <v>25</v>
      </c>
      <c r="E3" s="257"/>
      <c r="F3" s="257"/>
      <c r="G3" s="258"/>
      <c r="H3" s="259" t="s">
        <v>26</v>
      </c>
      <c r="I3" s="259" t="s">
        <v>198</v>
      </c>
      <c r="J3" s="88"/>
    </row>
    <row r="4" spans="1:12" x14ac:dyDescent="0.3">
      <c r="A4" s="114"/>
      <c r="B4" s="115"/>
      <c r="C4" s="7"/>
      <c r="D4" s="7" t="s">
        <v>187</v>
      </c>
      <c r="E4" s="7" t="s">
        <v>188</v>
      </c>
      <c r="F4" s="7" t="s">
        <v>194</v>
      </c>
      <c r="G4" s="7" t="s">
        <v>195</v>
      </c>
      <c r="H4" s="260"/>
      <c r="I4" s="260"/>
      <c r="J4" s="88"/>
    </row>
    <row r="5" spans="1:12" s="24" customFormat="1" x14ac:dyDescent="0.3">
      <c r="A5" s="261" t="s">
        <v>27</v>
      </c>
      <c r="B5" s="262"/>
      <c r="C5" s="263"/>
      <c r="D5" s="116">
        <v>257185000</v>
      </c>
      <c r="E5" s="28">
        <f>E6+E74+E80+E112</f>
        <v>167389385.21182251</v>
      </c>
      <c r="F5" s="28">
        <f>E5-D5</f>
        <v>-89795614.78817749</v>
      </c>
      <c r="G5" s="28">
        <f>F5/D5*100</f>
        <v>-34.91479471515737</v>
      </c>
      <c r="H5" s="29"/>
      <c r="I5" s="30"/>
      <c r="J5" s="25"/>
    </row>
    <row r="6" spans="1:12" s="24" customFormat="1" x14ac:dyDescent="0.3">
      <c r="A6" s="31" t="s">
        <v>10</v>
      </c>
      <c r="B6" s="12"/>
      <c r="C6" s="16"/>
      <c r="D6" s="117">
        <v>158593970</v>
      </c>
      <c r="E6" s="10">
        <f>E7+E36+E43</f>
        <v>79182407.21182251</v>
      </c>
      <c r="F6" s="28">
        <f t="shared" ref="F6:F68" si="0">E6-D6</f>
        <v>-79411562.78817749</v>
      </c>
      <c r="G6" s="28">
        <f t="shared" ref="G6:G68" si="1">F6/D6*100</f>
        <v>-50.072245992818956</v>
      </c>
      <c r="H6" s="32"/>
      <c r="I6" s="16"/>
    </row>
    <row r="7" spans="1:12" s="24" customFormat="1" x14ac:dyDescent="0.3">
      <c r="A7" s="33"/>
      <c r="B7" s="31" t="s">
        <v>11</v>
      </c>
      <c r="C7" s="12"/>
      <c r="D7" s="117">
        <v>144493970</v>
      </c>
      <c r="E7" s="10">
        <f>E8+E22+E26+E28+E34</f>
        <v>66045447.211822502</v>
      </c>
      <c r="F7" s="28">
        <f t="shared" si="0"/>
        <v>-78448522.78817749</v>
      </c>
      <c r="G7" s="28">
        <f t="shared" si="1"/>
        <v>-54.291900754181988</v>
      </c>
      <c r="H7" s="50"/>
      <c r="I7" s="53"/>
    </row>
    <row r="8" spans="1:12" s="24" customFormat="1" x14ac:dyDescent="0.3">
      <c r="A8" s="34"/>
      <c r="B8" s="34"/>
      <c r="C8" s="35" t="s">
        <v>56</v>
      </c>
      <c r="D8" s="119">
        <v>118683000</v>
      </c>
      <c r="E8" s="11">
        <f>I8</f>
        <v>56543860</v>
      </c>
      <c r="F8" s="15">
        <f t="shared" si="0"/>
        <v>-62139140</v>
      </c>
      <c r="G8" s="137">
        <f t="shared" si="1"/>
        <v>-52.357237346544991</v>
      </c>
      <c r="H8" s="46" t="s">
        <v>57</v>
      </c>
      <c r="I8" s="19">
        <f>SUM(I9:I21)</f>
        <v>56543860</v>
      </c>
      <c r="J8" s="25"/>
    </row>
    <row r="9" spans="1:12" s="24" customFormat="1" x14ac:dyDescent="0.3">
      <c r="A9" s="34"/>
      <c r="B9" s="34"/>
      <c r="C9" s="35"/>
      <c r="E9" s="33"/>
      <c r="F9" s="124"/>
      <c r="G9" s="33"/>
      <c r="H9" s="17" t="s">
        <v>128</v>
      </c>
      <c r="I9" s="10">
        <f>4744100*1.5</f>
        <v>7116150</v>
      </c>
      <c r="J9" s="25"/>
      <c r="L9" s="25"/>
    </row>
    <row r="10" spans="1:12" s="24" customFormat="1" x14ac:dyDescent="0.3">
      <c r="A10" s="34"/>
      <c r="B10" s="34"/>
      <c r="C10" s="35"/>
      <c r="E10" s="33"/>
      <c r="G10" s="33"/>
      <c r="H10" s="17" t="s">
        <v>129</v>
      </c>
      <c r="I10" s="10">
        <f>3931900*1.5</f>
        <v>5897850</v>
      </c>
      <c r="L10" s="25"/>
    </row>
    <row r="11" spans="1:12" s="24" customFormat="1" x14ac:dyDescent="0.3">
      <c r="A11" s="34"/>
      <c r="B11" s="34"/>
      <c r="C11" s="35"/>
      <c r="E11" s="33"/>
      <c r="G11" s="33"/>
      <c r="H11" s="17" t="s">
        <v>137</v>
      </c>
      <c r="I11" s="10">
        <f>3198600*1.5</f>
        <v>4797900</v>
      </c>
    </row>
    <row r="12" spans="1:12" s="24" customFormat="1" x14ac:dyDescent="0.3">
      <c r="A12" s="34"/>
      <c r="B12" s="34"/>
      <c r="C12" s="35"/>
      <c r="E12" s="33"/>
      <c r="G12" s="33"/>
      <c r="H12" s="17" t="s">
        <v>138</v>
      </c>
      <c r="I12" s="10">
        <f>2654200*1.5</f>
        <v>3981300</v>
      </c>
    </row>
    <row r="13" spans="1:12" s="24" customFormat="1" x14ac:dyDescent="0.3">
      <c r="A13" s="34"/>
      <c r="B13" s="34"/>
      <c r="C13" s="35"/>
      <c r="E13" s="33"/>
      <c r="G13" s="33"/>
      <c r="H13" s="17" t="s">
        <v>130</v>
      </c>
      <c r="I13" s="10">
        <f>2147100*1.5</f>
        <v>3220650</v>
      </c>
    </row>
    <row r="14" spans="1:12" s="24" customFormat="1" x14ac:dyDescent="0.3">
      <c r="A14" s="34"/>
      <c r="B14" s="34"/>
      <c r="C14" s="35"/>
      <c r="E14" s="33"/>
      <c r="G14" s="33"/>
      <c r="H14" s="17" t="s">
        <v>131</v>
      </c>
      <c r="I14" s="10">
        <f>2085000*1.5</f>
        <v>3127500</v>
      </c>
    </row>
    <row r="15" spans="1:12" s="24" customFormat="1" x14ac:dyDescent="0.3">
      <c r="A15" s="34"/>
      <c r="B15" s="34"/>
      <c r="C15" s="35"/>
      <c r="E15" s="33"/>
      <c r="G15" s="33"/>
      <c r="H15" s="17" t="s">
        <v>132</v>
      </c>
      <c r="I15" s="10">
        <f>2023000*1.5*2</f>
        <v>6069000</v>
      </c>
    </row>
    <row r="16" spans="1:12" s="24" customFormat="1" x14ac:dyDescent="0.3">
      <c r="A16" s="34"/>
      <c r="B16" s="34"/>
      <c r="C16" s="35"/>
      <c r="E16" s="33"/>
      <c r="G16" s="33"/>
      <c r="H16" s="17" t="s">
        <v>133</v>
      </c>
      <c r="I16" s="10">
        <f>1963900*1.5*3</f>
        <v>8837550</v>
      </c>
    </row>
    <row r="17" spans="1:10" s="24" customFormat="1" x14ac:dyDescent="0.3">
      <c r="A17" s="34"/>
      <c r="B17" s="34"/>
      <c r="C17" s="35"/>
      <c r="E17" s="33"/>
      <c r="G17" s="33"/>
      <c r="H17" s="17" t="s">
        <v>134</v>
      </c>
      <c r="I17" s="10">
        <v>1963900</v>
      </c>
    </row>
    <row r="18" spans="1:10" s="24" customFormat="1" x14ac:dyDescent="0.3">
      <c r="A18" s="34"/>
      <c r="B18" s="34"/>
      <c r="C18" s="35"/>
      <c r="E18" s="33"/>
      <c r="G18" s="33"/>
      <c r="H18" s="17" t="s">
        <v>142</v>
      </c>
      <c r="I18" s="10">
        <f>1913400*0.5</f>
        <v>956700</v>
      </c>
    </row>
    <row r="19" spans="1:10" s="24" customFormat="1" x14ac:dyDescent="0.3">
      <c r="A19" s="34"/>
      <c r="B19" s="34"/>
      <c r="C19" s="35"/>
      <c r="E19" s="33"/>
      <c r="G19" s="33"/>
      <c r="H19" s="17" t="s">
        <v>141</v>
      </c>
      <c r="I19" s="10">
        <f>1913400*1.5*2</f>
        <v>5740200</v>
      </c>
    </row>
    <row r="20" spans="1:10" s="24" customFormat="1" x14ac:dyDescent="0.3">
      <c r="A20" s="34"/>
      <c r="B20" s="34"/>
      <c r="C20" s="35"/>
      <c r="E20" s="33"/>
      <c r="G20" s="33"/>
      <c r="H20" s="17" t="s">
        <v>135</v>
      </c>
      <c r="I20" s="10">
        <f>1883400*1.5</f>
        <v>2825100</v>
      </c>
    </row>
    <row r="21" spans="1:10" s="24" customFormat="1" x14ac:dyDescent="0.3">
      <c r="A21" s="34"/>
      <c r="B21" s="34"/>
      <c r="C21" s="17"/>
      <c r="E21" s="12"/>
      <c r="G21" s="72"/>
      <c r="H21" s="17" t="s">
        <v>136</v>
      </c>
      <c r="I21" s="10">
        <f>1340040*1.5</f>
        <v>2010060</v>
      </c>
    </row>
    <row r="22" spans="1:10" s="24" customFormat="1" x14ac:dyDescent="0.3">
      <c r="A22" s="34"/>
      <c r="B22" s="34"/>
      <c r="C22" s="37" t="s">
        <v>58</v>
      </c>
      <c r="D22" s="120">
        <v>2960000</v>
      </c>
      <c r="E22" s="15">
        <f>I22</f>
        <v>625000</v>
      </c>
      <c r="F22" s="11">
        <f t="shared" si="0"/>
        <v>-2335000</v>
      </c>
      <c r="G22" s="15">
        <f t="shared" si="1"/>
        <v>-78.88513513513513</v>
      </c>
      <c r="H22" s="36" t="s">
        <v>59</v>
      </c>
      <c r="I22" s="10">
        <f>SUM(I23:I25)</f>
        <v>625000</v>
      </c>
    </row>
    <row r="23" spans="1:10" s="24" customFormat="1" ht="40.5" x14ac:dyDescent="0.3">
      <c r="A23" s="34"/>
      <c r="B23" s="34"/>
      <c r="C23" s="35"/>
      <c r="E23" s="33"/>
      <c r="G23" s="33"/>
      <c r="H23" s="17" t="s">
        <v>139</v>
      </c>
      <c r="I23" s="10">
        <v>450000</v>
      </c>
      <c r="J23" s="25"/>
    </row>
    <row r="24" spans="1:10" s="24" customFormat="1" x14ac:dyDescent="0.3">
      <c r="A24" s="34"/>
      <c r="B24" s="34"/>
      <c r="C24" s="35"/>
      <c r="E24" s="33"/>
      <c r="G24" s="33"/>
      <c r="H24" s="17" t="s">
        <v>196</v>
      </c>
      <c r="I24" s="10">
        <v>0</v>
      </c>
      <c r="J24" s="25"/>
    </row>
    <row r="25" spans="1:10" s="24" customFormat="1" x14ac:dyDescent="0.3">
      <c r="A25" s="34"/>
      <c r="B25" s="34"/>
      <c r="C25" s="35"/>
      <c r="E25" s="33"/>
      <c r="G25" s="33"/>
      <c r="H25" s="17" t="s">
        <v>140</v>
      </c>
      <c r="I25" s="10">
        <v>175000</v>
      </c>
      <c r="J25" s="25"/>
    </row>
    <row r="26" spans="1:10" s="24" customFormat="1" x14ac:dyDescent="0.3">
      <c r="A26" s="34"/>
      <c r="B26" s="34"/>
      <c r="C26" s="37" t="s">
        <v>60</v>
      </c>
      <c r="D26" s="119">
        <v>10136920</v>
      </c>
      <c r="E26" s="11">
        <f>I26</f>
        <v>4749487</v>
      </c>
      <c r="F26" s="11">
        <f t="shared" si="0"/>
        <v>-5387433</v>
      </c>
      <c r="G26" s="15">
        <f t="shared" si="1"/>
        <v>-53.146646121307064</v>
      </c>
      <c r="H26" s="36" t="s">
        <v>61</v>
      </c>
      <c r="I26" s="10">
        <f>I27</f>
        <v>4749487</v>
      </c>
    </row>
    <row r="27" spans="1:10" s="24" customFormat="1" x14ac:dyDescent="0.3">
      <c r="A27" s="34"/>
      <c r="B27" s="34"/>
      <c r="C27" s="17"/>
      <c r="E27" s="12"/>
      <c r="F27" s="10"/>
      <c r="G27" s="10"/>
      <c r="H27" s="17" t="s">
        <v>143</v>
      </c>
      <c r="I27" s="10">
        <v>4749487</v>
      </c>
      <c r="J27" s="25"/>
    </row>
    <row r="28" spans="1:10" s="24" customFormat="1" x14ac:dyDescent="0.3">
      <c r="A28" s="34"/>
      <c r="B28" s="34"/>
      <c r="C28" s="37" t="s">
        <v>62</v>
      </c>
      <c r="D28" s="119">
        <v>12574050</v>
      </c>
      <c r="E28" s="11">
        <f>I28</f>
        <v>4127100.2118225</v>
      </c>
      <c r="F28" s="11">
        <f t="shared" si="0"/>
        <v>-8446949.7881774995</v>
      </c>
      <c r="G28" s="15">
        <f t="shared" si="1"/>
        <v>-67.177637978038092</v>
      </c>
      <c r="H28" s="36" t="s">
        <v>63</v>
      </c>
      <c r="I28" s="10">
        <f>SUM(I29:I33)</f>
        <v>4127100.2118225</v>
      </c>
    </row>
    <row r="29" spans="1:10" s="24" customFormat="1" x14ac:dyDescent="0.3">
      <c r="A29" s="34"/>
      <c r="B29" s="34"/>
      <c r="C29" s="35"/>
      <c r="E29" s="33"/>
      <c r="G29" s="33"/>
      <c r="H29" s="17" t="s">
        <v>144</v>
      </c>
      <c r="I29" s="10">
        <f>39926140*0.045</f>
        <v>1796676.3</v>
      </c>
    </row>
    <row r="30" spans="1:10" s="24" customFormat="1" x14ac:dyDescent="0.3">
      <c r="A30" s="34"/>
      <c r="B30" s="34"/>
      <c r="C30" s="35"/>
      <c r="E30" s="33"/>
      <c r="G30" s="33"/>
      <c r="H30" s="17" t="s">
        <v>145</v>
      </c>
      <c r="I30" s="10">
        <f>39926140*0.03335</f>
        <v>1331536.7689999999</v>
      </c>
    </row>
    <row r="31" spans="1:10" s="24" customFormat="1" x14ac:dyDescent="0.3">
      <c r="A31" s="34"/>
      <c r="B31" s="34"/>
      <c r="C31" s="35"/>
      <c r="E31" s="33"/>
      <c r="G31" s="33"/>
      <c r="H31" s="17" t="s">
        <v>146</v>
      </c>
      <c r="I31" s="10">
        <f>39926140*0.0125</f>
        <v>499076.75</v>
      </c>
    </row>
    <row r="32" spans="1:10" s="24" customFormat="1" x14ac:dyDescent="0.3">
      <c r="A32" s="34"/>
      <c r="B32" s="34"/>
      <c r="C32" s="35"/>
      <c r="E32" s="33"/>
      <c r="G32" s="33"/>
      <c r="H32" s="17" t="s">
        <v>147</v>
      </c>
      <c r="I32" s="10">
        <f>39926140*0.0091</f>
        <v>363327.87400000001</v>
      </c>
    </row>
    <row r="33" spans="1:14" s="24" customFormat="1" x14ac:dyDescent="0.3">
      <c r="A33" s="34"/>
      <c r="B33" s="34"/>
      <c r="C33" s="17"/>
      <c r="E33" s="12"/>
      <c r="G33" s="72"/>
      <c r="H33" s="17" t="s">
        <v>148</v>
      </c>
      <c r="I33" s="10">
        <f>1331536.769*0.1025</f>
        <v>136482.51882249999</v>
      </c>
    </row>
    <row r="34" spans="1:14" s="24" customFormat="1" x14ac:dyDescent="0.3">
      <c r="A34" s="34"/>
      <c r="B34" s="34"/>
      <c r="C34" s="37" t="s">
        <v>64</v>
      </c>
      <c r="D34" s="119">
        <v>140000</v>
      </c>
      <c r="E34" s="11">
        <f>I34</f>
        <v>0</v>
      </c>
      <c r="F34" s="11">
        <f t="shared" si="0"/>
        <v>-140000</v>
      </c>
      <c r="G34" s="15">
        <f t="shared" si="1"/>
        <v>-100</v>
      </c>
      <c r="H34" s="36" t="s">
        <v>65</v>
      </c>
      <c r="I34" s="10">
        <f>I35</f>
        <v>0</v>
      </c>
      <c r="J34" s="26"/>
      <c r="K34" s="26"/>
      <c r="L34" s="26"/>
      <c r="M34" s="26"/>
      <c r="N34" s="26"/>
    </row>
    <row r="35" spans="1:14" s="24" customFormat="1" x14ac:dyDescent="0.3">
      <c r="A35" s="34"/>
      <c r="B35" s="34"/>
      <c r="C35" s="38"/>
      <c r="E35" s="39"/>
      <c r="F35" s="10"/>
      <c r="G35" s="10"/>
      <c r="H35" s="40" t="s">
        <v>180</v>
      </c>
      <c r="I35" s="10">
        <v>0</v>
      </c>
      <c r="J35" s="26"/>
      <c r="K35" s="26"/>
      <c r="L35" s="26"/>
      <c r="M35" s="26"/>
      <c r="N35" s="26"/>
    </row>
    <row r="36" spans="1:14" s="24" customFormat="1" x14ac:dyDescent="0.3">
      <c r="A36" s="34"/>
      <c r="B36" s="31" t="s">
        <v>13</v>
      </c>
      <c r="C36" s="42"/>
      <c r="D36" s="116">
        <v>700000</v>
      </c>
      <c r="E36" s="28">
        <f>E37+E39+E41</f>
        <v>50000</v>
      </c>
      <c r="F36" s="28">
        <f t="shared" si="0"/>
        <v>-650000</v>
      </c>
      <c r="G36" s="28">
        <f t="shared" si="1"/>
        <v>-92.857142857142861</v>
      </c>
      <c r="H36" s="40"/>
      <c r="I36" s="16"/>
      <c r="J36" s="27"/>
      <c r="K36" s="26"/>
      <c r="L36" s="26"/>
      <c r="M36" s="23"/>
      <c r="N36" s="27"/>
    </row>
    <row r="37" spans="1:14" s="24" customFormat="1" x14ac:dyDescent="0.3">
      <c r="A37" s="34"/>
      <c r="B37" s="34"/>
      <c r="C37" s="37" t="s">
        <v>66</v>
      </c>
      <c r="D37" s="119">
        <v>300000</v>
      </c>
      <c r="E37" s="11">
        <f>I37</f>
        <v>50000</v>
      </c>
      <c r="F37" s="11">
        <f t="shared" si="0"/>
        <v>-250000</v>
      </c>
      <c r="G37" s="15">
        <f t="shared" si="1"/>
        <v>-83.333333333333343</v>
      </c>
      <c r="H37" s="36" t="s">
        <v>67</v>
      </c>
      <c r="I37" s="10">
        <f>I38</f>
        <v>50000</v>
      </c>
      <c r="J37" s="27"/>
      <c r="K37" s="26"/>
      <c r="L37" s="26"/>
      <c r="M37" s="26"/>
      <c r="N37" s="27"/>
    </row>
    <row r="38" spans="1:14" s="24" customFormat="1" x14ac:dyDescent="0.3">
      <c r="A38" s="34"/>
      <c r="B38" s="34"/>
      <c r="C38" s="17"/>
      <c r="D38" s="72"/>
      <c r="E38" s="12"/>
      <c r="F38" s="10"/>
      <c r="G38" s="10"/>
      <c r="H38" s="17" t="s">
        <v>162</v>
      </c>
      <c r="I38" s="10">
        <v>50000</v>
      </c>
      <c r="J38" s="27"/>
      <c r="K38" s="26"/>
      <c r="L38" s="26"/>
      <c r="M38" s="26"/>
      <c r="N38" s="27"/>
    </row>
    <row r="39" spans="1:14" s="24" customFormat="1" x14ac:dyDescent="0.3">
      <c r="A39" s="34"/>
      <c r="B39" s="34"/>
      <c r="C39" s="37" t="s">
        <v>68</v>
      </c>
      <c r="D39" s="142">
        <v>0</v>
      </c>
      <c r="E39" s="43">
        <v>0</v>
      </c>
      <c r="F39" s="11"/>
      <c r="G39" s="15"/>
      <c r="H39" s="44" t="s">
        <v>69</v>
      </c>
      <c r="I39" s="16">
        <v>0</v>
      </c>
      <c r="J39" s="23"/>
      <c r="K39" s="26"/>
      <c r="L39" s="26"/>
      <c r="M39" s="26"/>
      <c r="N39" s="26"/>
    </row>
    <row r="40" spans="1:14" s="24" customFormat="1" x14ac:dyDescent="0.3">
      <c r="A40" s="34"/>
      <c r="B40" s="34"/>
      <c r="C40" s="17"/>
      <c r="D40" s="126"/>
      <c r="E40" s="16"/>
      <c r="F40" s="10"/>
      <c r="G40" s="10"/>
      <c r="H40" s="17" t="s">
        <v>70</v>
      </c>
      <c r="I40" s="16">
        <v>0</v>
      </c>
      <c r="J40" s="26"/>
      <c r="K40" s="26"/>
      <c r="L40" s="26"/>
      <c r="M40" s="26"/>
      <c r="N40" s="26"/>
    </row>
    <row r="41" spans="1:14" s="24" customFormat="1" x14ac:dyDescent="0.3">
      <c r="A41" s="34"/>
      <c r="B41" s="34"/>
      <c r="C41" s="37" t="s">
        <v>71</v>
      </c>
      <c r="D41" s="120">
        <v>400000</v>
      </c>
      <c r="E41" s="15">
        <f>I41</f>
        <v>0</v>
      </c>
      <c r="F41" s="11">
        <f t="shared" si="0"/>
        <v>-400000</v>
      </c>
      <c r="G41" s="15">
        <f t="shared" si="1"/>
        <v>-100</v>
      </c>
      <c r="H41" s="36" t="s">
        <v>72</v>
      </c>
      <c r="I41" s="10">
        <f>I42</f>
        <v>0</v>
      </c>
      <c r="J41" s="26"/>
      <c r="K41" s="26"/>
      <c r="L41" s="26"/>
      <c r="M41" s="26"/>
      <c r="N41" s="26"/>
    </row>
    <row r="42" spans="1:14" s="24" customFormat="1" x14ac:dyDescent="0.3">
      <c r="A42" s="34"/>
      <c r="B42" s="41"/>
      <c r="C42" s="17"/>
      <c r="E42" s="141"/>
      <c r="F42" s="10"/>
      <c r="G42" s="10"/>
      <c r="H42" s="17" t="s">
        <v>163</v>
      </c>
      <c r="I42" s="10">
        <v>0</v>
      </c>
    </row>
    <row r="43" spans="1:14" s="24" customFormat="1" x14ac:dyDescent="0.3">
      <c r="A43" s="34"/>
      <c r="B43" s="31" t="s">
        <v>15</v>
      </c>
      <c r="C43" s="42"/>
      <c r="D43" s="116">
        <v>13400000</v>
      </c>
      <c r="E43" s="28">
        <f>E44+E46+E56+E62+E68+E71</f>
        <v>13086960</v>
      </c>
      <c r="F43" s="28">
        <f t="shared" si="0"/>
        <v>-313040</v>
      </c>
      <c r="G43" s="28">
        <f t="shared" si="1"/>
        <v>-2.3361194029850747</v>
      </c>
      <c r="H43" s="40"/>
      <c r="I43" s="16"/>
      <c r="J43" s="25"/>
      <c r="K43" s="25"/>
    </row>
    <row r="44" spans="1:14" s="24" customFormat="1" x14ac:dyDescent="0.3">
      <c r="A44" s="34"/>
      <c r="B44" s="34"/>
      <c r="C44" s="35" t="s">
        <v>73</v>
      </c>
      <c r="D44" s="125">
        <v>450000</v>
      </c>
      <c r="E44" s="22">
        <v>0</v>
      </c>
      <c r="F44" s="11">
        <f t="shared" si="0"/>
        <v>-450000</v>
      </c>
      <c r="G44" s="15">
        <f t="shared" si="1"/>
        <v>-100</v>
      </c>
      <c r="H44" s="44" t="s">
        <v>74</v>
      </c>
      <c r="I44" s="10">
        <v>0</v>
      </c>
      <c r="J44" s="25"/>
    </row>
    <row r="45" spans="1:14" s="24" customFormat="1" x14ac:dyDescent="0.3">
      <c r="A45" s="34"/>
      <c r="B45" s="34"/>
      <c r="C45" s="17"/>
      <c r="D45" s="126"/>
      <c r="E45" s="16"/>
      <c r="F45" s="10"/>
      <c r="G45" s="10"/>
      <c r="H45" s="35" t="s">
        <v>149</v>
      </c>
      <c r="I45" s="22">
        <v>0</v>
      </c>
    </row>
    <row r="46" spans="1:14" s="24" customFormat="1" x14ac:dyDescent="0.3">
      <c r="A46" s="34"/>
      <c r="B46" s="34"/>
      <c r="C46" s="127" t="s">
        <v>75</v>
      </c>
      <c r="D46" s="120">
        <v>2640000</v>
      </c>
      <c r="E46" s="45">
        <f>I46</f>
        <v>5249220</v>
      </c>
      <c r="F46" s="131">
        <f t="shared" si="0"/>
        <v>2609220</v>
      </c>
      <c r="G46" s="132">
        <f t="shared" si="1"/>
        <v>98.834090909090904</v>
      </c>
      <c r="H46" s="46" t="s">
        <v>76</v>
      </c>
      <c r="I46" s="19">
        <f>SUM(I47:I55)</f>
        <v>5249220</v>
      </c>
    </row>
    <row r="47" spans="1:14" s="24" customFormat="1" x14ac:dyDescent="0.3">
      <c r="A47" s="34"/>
      <c r="B47" s="34"/>
      <c r="C47" s="128"/>
      <c r="E47" s="47"/>
      <c r="G47" s="47"/>
      <c r="H47" s="168" t="s">
        <v>200</v>
      </c>
      <c r="I47" s="19">
        <f>1308100+231345+428995+50000+100000-400000+600000+300000+100000</f>
        <v>2718440</v>
      </c>
      <c r="M47" s="25"/>
    </row>
    <row r="48" spans="1:14" s="24" customFormat="1" x14ac:dyDescent="0.3">
      <c r="A48" s="34"/>
      <c r="B48" s="34"/>
      <c r="C48" s="128"/>
      <c r="E48" s="47"/>
      <c r="G48" s="47"/>
      <c r="H48" s="18" t="s">
        <v>165</v>
      </c>
      <c r="I48" s="19">
        <v>110000</v>
      </c>
    </row>
    <row r="49" spans="1:13" s="24" customFormat="1" ht="27" x14ac:dyDescent="0.3">
      <c r="A49" s="34"/>
      <c r="B49" s="34"/>
      <c r="C49" s="128"/>
      <c r="E49" s="47"/>
      <c r="G49" s="47"/>
      <c r="H49" s="18" t="s">
        <v>166</v>
      </c>
      <c r="I49" s="19">
        <v>126780</v>
      </c>
      <c r="M49" s="25"/>
    </row>
    <row r="50" spans="1:13" s="24" customFormat="1" x14ac:dyDescent="0.3">
      <c r="A50" s="48"/>
      <c r="B50" s="49"/>
      <c r="C50" s="129"/>
      <c r="E50" s="47"/>
      <c r="G50" s="47"/>
      <c r="H50" s="18" t="s">
        <v>164</v>
      </c>
      <c r="I50" s="19">
        <v>0</v>
      </c>
      <c r="M50" s="25"/>
    </row>
    <row r="51" spans="1:13" s="24" customFormat="1" x14ac:dyDescent="0.3">
      <c r="A51" s="34"/>
      <c r="B51" s="50"/>
      <c r="C51" s="128"/>
      <c r="E51" s="47"/>
      <c r="G51" s="47"/>
      <c r="H51" s="18" t="s">
        <v>167</v>
      </c>
      <c r="I51" s="19">
        <v>0</v>
      </c>
      <c r="M51" s="25"/>
    </row>
    <row r="52" spans="1:13" s="24" customFormat="1" x14ac:dyDescent="0.3">
      <c r="A52" s="34"/>
      <c r="B52" s="50"/>
      <c r="C52" s="128"/>
      <c r="E52" s="47"/>
      <c r="G52" s="47"/>
      <c r="H52" s="18" t="s">
        <v>174</v>
      </c>
      <c r="I52" s="19">
        <f>297000*2</f>
        <v>594000</v>
      </c>
    </row>
    <row r="53" spans="1:13" s="24" customFormat="1" x14ac:dyDescent="0.3">
      <c r="A53" s="34"/>
      <c r="B53" s="50"/>
      <c r="C53" s="128"/>
      <c r="E53" s="47"/>
      <c r="G53" s="47"/>
      <c r="H53" s="18" t="s">
        <v>197</v>
      </c>
      <c r="I53" s="19">
        <v>0</v>
      </c>
    </row>
    <row r="54" spans="1:13" s="24" customFormat="1" x14ac:dyDescent="0.3">
      <c r="A54" s="34"/>
      <c r="B54" s="34"/>
      <c r="C54" s="128"/>
      <c r="E54" s="47"/>
      <c r="G54" s="47"/>
      <c r="H54" s="20" t="s">
        <v>182</v>
      </c>
      <c r="I54" s="51">
        <f>200000</f>
        <v>200000</v>
      </c>
    </row>
    <row r="55" spans="1:13" s="24" customFormat="1" x14ac:dyDescent="0.3">
      <c r="A55" s="34"/>
      <c r="B55" s="50"/>
      <c r="C55" s="130"/>
      <c r="D55" s="134"/>
      <c r="E55" s="52"/>
      <c r="G55" s="52"/>
      <c r="H55" s="18" t="s">
        <v>176</v>
      </c>
      <c r="I55" s="19">
        <v>1500000</v>
      </c>
    </row>
    <row r="56" spans="1:13" s="24" customFormat="1" x14ac:dyDescent="0.3">
      <c r="A56" s="34"/>
      <c r="B56" s="34"/>
      <c r="C56" s="37" t="s">
        <v>77</v>
      </c>
      <c r="D56" s="143">
        <v>3060000</v>
      </c>
      <c r="E56" s="15">
        <f>I56</f>
        <v>1579590</v>
      </c>
      <c r="F56" s="11">
        <f t="shared" si="0"/>
        <v>-1480410</v>
      </c>
      <c r="G56" s="15">
        <f t="shared" si="1"/>
        <v>-48.379411764705878</v>
      </c>
      <c r="H56" s="44" t="s">
        <v>78</v>
      </c>
      <c r="I56" s="10">
        <f>SUM(I57:I61)</f>
        <v>1579590</v>
      </c>
    </row>
    <row r="57" spans="1:13" s="24" customFormat="1" ht="27" x14ac:dyDescent="0.3">
      <c r="A57" s="34"/>
      <c r="B57" s="34"/>
      <c r="C57" s="35"/>
      <c r="D57" s="144"/>
      <c r="E57" s="53"/>
      <c r="F57" s="147"/>
      <c r="G57" s="53"/>
      <c r="H57" s="17" t="s">
        <v>151</v>
      </c>
      <c r="I57" s="10">
        <f>577388+300450</f>
        <v>877838</v>
      </c>
    </row>
    <row r="58" spans="1:13" s="24" customFormat="1" x14ac:dyDescent="0.3">
      <c r="A58" s="34"/>
      <c r="B58" s="34"/>
      <c r="C58" s="35"/>
      <c r="D58" s="144"/>
      <c r="E58" s="53"/>
      <c r="F58" s="147"/>
      <c r="G58" s="53"/>
      <c r="H58" s="17" t="s">
        <v>183</v>
      </c>
      <c r="I58" s="10">
        <v>300000</v>
      </c>
    </row>
    <row r="59" spans="1:13" s="24" customFormat="1" ht="27" x14ac:dyDescent="0.3">
      <c r="A59" s="34"/>
      <c r="B59" s="34"/>
      <c r="C59" s="35"/>
      <c r="D59" s="144"/>
      <c r="E59" s="53"/>
      <c r="F59" s="147"/>
      <c r="G59" s="53"/>
      <c r="H59" s="17" t="s">
        <v>152</v>
      </c>
      <c r="I59" s="10">
        <f>139000+262752</f>
        <v>401752</v>
      </c>
    </row>
    <row r="60" spans="1:13" s="24" customFormat="1" x14ac:dyDescent="0.3">
      <c r="A60" s="34"/>
      <c r="B60" s="34"/>
      <c r="C60" s="35"/>
      <c r="D60" s="144"/>
      <c r="E60" s="53"/>
      <c r="F60" s="147"/>
      <c r="G60" s="53"/>
      <c r="H60" s="17" t="s">
        <v>169</v>
      </c>
      <c r="I60" s="10">
        <v>0</v>
      </c>
    </row>
    <row r="61" spans="1:13" s="24" customFormat="1" x14ac:dyDescent="0.3">
      <c r="A61" s="34"/>
      <c r="B61" s="34"/>
      <c r="C61" s="17"/>
      <c r="D61" s="145"/>
      <c r="E61" s="16"/>
      <c r="F61" s="147"/>
      <c r="G61" s="16"/>
      <c r="H61" s="17" t="s">
        <v>170</v>
      </c>
      <c r="I61" s="10">
        <v>0</v>
      </c>
    </row>
    <row r="62" spans="1:13" s="24" customFormat="1" x14ac:dyDescent="0.3">
      <c r="A62" s="34"/>
      <c r="B62" s="34"/>
      <c r="C62" s="37" t="s">
        <v>79</v>
      </c>
      <c r="D62" s="146">
        <v>5200000</v>
      </c>
      <c r="E62" s="15">
        <f>I62</f>
        <v>5660150</v>
      </c>
      <c r="F62" s="132">
        <f t="shared" si="0"/>
        <v>460150</v>
      </c>
      <c r="G62" s="15">
        <f t="shared" si="1"/>
        <v>8.849038461538461</v>
      </c>
      <c r="H62" s="54" t="s">
        <v>80</v>
      </c>
      <c r="I62" s="22">
        <f>SUM(I63:I67)</f>
        <v>5660150</v>
      </c>
      <c r="K62" s="25"/>
    </row>
    <row r="63" spans="1:13" s="24" customFormat="1" x14ac:dyDescent="0.3">
      <c r="A63" s="34"/>
      <c r="B63" s="34"/>
      <c r="C63" s="38"/>
      <c r="D63" s="133"/>
      <c r="E63" s="112"/>
      <c r="F63" s="133"/>
      <c r="G63" s="135"/>
      <c r="H63" s="18" t="s">
        <v>155</v>
      </c>
      <c r="I63" s="56">
        <v>40500</v>
      </c>
    </row>
    <row r="64" spans="1:13" s="24" customFormat="1" x14ac:dyDescent="0.3">
      <c r="A64" s="34"/>
      <c r="B64" s="34"/>
      <c r="C64" s="35"/>
      <c r="D64" s="147"/>
      <c r="E64" s="53"/>
      <c r="F64" s="147"/>
      <c r="G64" s="53"/>
      <c r="H64" s="17" t="s">
        <v>154</v>
      </c>
      <c r="I64" s="10">
        <v>5458990</v>
      </c>
    </row>
    <row r="65" spans="1:9" s="24" customFormat="1" x14ac:dyDescent="0.3">
      <c r="A65" s="34"/>
      <c r="B65" s="34"/>
      <c r="C65" s="35"/>
      <c r="D65" s="147"/>
      <c r="E65" s="53"/>
      <c r="F65" s="147"/>
      <c r="G65" s="53"/>
      <c r="H65" s="17" t="s">
        <v>156</v>
      </c>
      <c r="I65" s="10">
        <f>102450+15000</f>
        <v>117450</v>
      </c>
    </row>
    <row r="66" spans="1:9" s="24" customFormat="1" x14ac:dyDescent="0.3">
      <c r="A66" s="34"/>
      <c r="B66" s="34"/>
      <c r="C66" s="35"/>
      <c r="D66" s="147"/>
      <c r="E66" s="53"/>
      <c r="F66" s="147"/>
      <c r="G66" s="53"/>
      <c r="H66" s="17" t="s">
        <v>153</v>
      </c>
      <c r="I66" s="10">
        <v>43210</v>
      </c>
    </row>
    <row r="67" spans="1:9" s="24" customFormat="1" x14ac:dyDescent="0.3">
      <c r="A67" s="34"/>
      <c r="B67" s="34"/>
      <c r="C67" s="17"/>
      <c r="D67" s="147"/>
      <c r="E67" s="16"/>
      <c r="F67" s="147"/>
      <c r="G67" s="16"/>
      <c r="H67" s="17" t="s">
        <v>168</v>
      </c>
      <c r="I67" s="10">
        <v>0</v>
      </c>
    </row>
    <row r="68" spans="1:9" s="24" customFormat="1" x14ac:dyDescent="0.3">
      <c r="A68" s="34"/>
      <c r="B68" s="34"/>
      <c r="C68" s="37" t="s">
        <v>81</v>
      </c>
      <c r="D68" s="148">
        <v>1300000</v>
      </c>
      <c r="E68" s="15">
        <f>I68</f>
        <v>546000</v>
      </c>
      <c r="F68" s="132">
        <f t="shared" si="0"/>
        <v>-754000</v>
      </c>
      <c r="G68" s="15">
        <f t="shared" si="1"/>
        <v>-57.999999999999993</v>
      </c>
      <c r="H68" s="44" t="s">
        <v>82</v>
      </c>
      <c r="I68" s="10">
        <f>SUM(I69:I70)</f>
        <v>546000</v>
      </c>
    </row>
    <row r="69" spans="1:9" s="24" customFormat="1" x14ac:dyDescent="0.3">
      <c r="A69" s="34"/>
      <c r="B69" s="34"/>
      <c r="C69" s="35"/>
      <c r="D69" s="147"/>
      <c r="E69" s="53"/>
      <c r="F69" s="144"/>
      <c r="G69" s="53"/>
      <c r="H69" s="17" t="s">
        <v>171</v>
      </c>
      <c r="I69" s="10">
        <v>200000</v>
      </c>
    </row>
    <row r="70" spans="1:9" s="24" customFormat="1" x14ac:dyDescent="0.3">
      <c r="A70" s="34"/>
      <c r="B70" s="34"/>
      <c r="C70" s="17"/>
      <c r="D70" s="147"/>
      <c r="E70" s="113"/>
      <c r="F70" s="155"/>
      <c r="G70" s="141"/>
      <c r="H70" s="17" t="s">
        <v>175</v>
      </c>
      <c r="I70" s="10">
        <v>346000</v>
      </c>
    </row>
    <row r="71" spans="1:9" s="24" customFormat="1" x14ac:dyDescent="0.3">
      <c r="A71" s="34"/>
      <c r="B71" s="34"/>
      <c r="C71" s="37" t="s">
        <v>83</v>
      </c>
      <c r="D71" s="148">
        <v>750000</v>
      </c>
      <c r="E71" s="15">
        <f>I71</f>
        <v>52000</v>
      </c>
      <c r="F71" s="154">
        <f t="shared" ref="F71:F119" si="2">E71-D71</f>
        <v>-698000</v>
      </c>
      <c r="G71" s="15">
        <f t="shared" ref="G71:G119" si="3">F71/D71*100</f>
        <v>-93.066666666666663</v>
      </c>
      <c r="H71" s="44" t="s">
        <v>84</v>
      </c>
      <c r="I71" s="10">
        <f>I72+I73</f>
        <v>52000</v>
      </c>
    </row>
    <row r="72" spans="1:9" s="24" customFormat="1" x14ac:dyDescent="0.3">
      <c r="A72" s="34"/>
      <c r="B72" s="34"/>
      <c r="C72" s="35"/>
      <c r="D72" s="147"/>
      <c r="E72" s="53"/>
      <c r="F72" s="150"/>
      <c r="G72" s="22"/>
      <c r="H72" s="17" t="s">
        <v>172</v>
      </c>
      <c r="I72" s="10">
        <v>52000</v>
      </c>
    </row>
    <row r="73" spans="1:9" s="24" customFormat="1" x14ac:dyDescent="0.3">
      <c r="A73" s="41"/>
      <c r="B73" s="41"/>
      <c r="C73" s="17"/>
      <c r="D73" s="149"/>
      <c r="E73" s="16"/>
      <c r="F73" s="13"/>
      <c r="G73" s="10"/>
      <c r="H73" s="17" t="s">
        <v>173</v>
      </c>
      <c r="I73" s="10">
        <v>0</v>
      </c>
    </row>
    <row r="74" spans="1:9" s="24" customFormat="1" x14ac:dyDescent="0.3">
      <c r="A74" s="31" t="s">
        <v>17</v>
      </c>
      <c r="B74" s="29"/>
      <c r="C74" s="57"/>
      <c r="D74" s="116">
        <v>23695000</v>
      </c>
      <c r="E74" s="28">
        <f>E75</f>
        <v>51611500</v>
      </c>
      <c r="F74" s="151">
        <f t="shared" si="2"/>
        <v>27916500</v>
      </c>
      <c r="G74" s="28">
        <f t="shared" si="3"/>
        <v>117.81599493564043</v>
      </c>
      <c r="H74" s="40"/>
      <c r="I74" s="16"/>
    </row>
    <row r="75" spans="1:9" s="24" customFormat="1" x14ac:dyDescent="0.3">
      <c r="A75" s="34"/>
      <c r="B75" s="34" t="s">
        <v>18</v>
      </c>
      <c r="C75" s="40"/>
      <c r="D75" s="117">
        <v>23695000</v>
      </c>
      <c r="E75" s="10">
        <f>E76+E78</f>
        <v>51611500</v>
      </c>
      <c r="F75" s="28">
        <f t="shared" si="2"/>
        <v>27916500</v>
      </c>
      <c r="G75" s="28">
        <f t="shared" si="3"/>
        <v>117.81599493564043</v>
      </c>
      <c r="H75" s="40"/>
      <c r="I75" s="16"/>
    </row>
    <row r="76" spans="1:9" s="24" customFormat="1" x14ac:dyDescent="0.3">
      <c r="A76" s="34"/>
      <c r="B76" s="34"/>
      <c r="C76" s="35" t="s">
        <v>85</v>
      </c>
      <c r="D76" s="122">
        <v>23600000</v>
      </c>
      <c r="E76" s="22">
        <f>I76</f>
        <v>50176000</v>
      </c>
      <c r="F76" s="11">
        <f t="shared" si="2"/>
        <v>26576000</v>
      </c>
      <c r="G76" s="15">
        <f t="shared" si="3"/>
        <v>112.61016949152543</v>
      </c>
      <c r="H76" s="44" t="s">
        <v>86</v>
      </c>
      <c r="I76" s="10">
        <f>I77</f>
        <v>50176000</v>
      </c>
    </row>
    <row r="77" spans="1:9" s="24" customFormat="1" x14ac:dyDescent="0.3">
      <c r="A77" s="34"/>
      <c r="B77" s="58"/>
      <c r="C77" s="17"/>
      <c r="E77" s="141"/>
      <c r="F77" s="10"/>
      <c r="G77" s="10"/>
      <c r="H77" s="17" t="s">
        <v>160</v>
      </c>
      <c r="I77" s="10">
        <v>50176000</v>
      </c>
    </row>
    <row r="78" spans="1:9" s="24" customFormat="1" x14ac:dyDescent="0.3">
      <c r="A78" s="34"/>
      <c r="B78" s="34"/>
      <c r="C78" s="37" t="s">
        <v>87</v>
      </c>
      <c r="D78" s="120">
        <v>95000</v>
      </c>
      <c r="E78" s="15">
        <f>I78</f>
        <v>1435500</v>
      </c>
      <c r="F78" s="15">
        <f t="shared" si="2"/>
        <v>1340500</v>
      </c>
      <c r="G78" s="15">
        <f t="shared" si="3"/>
        <v>1411.0526315789473</v>
      </c>
      <c r="H78" s="36" t="s">
        <v>88</v>
      </c>
      <c r="I78" s="10">
        <f>I79</f>
        <v>1435500</v>
      </c>
    </row>
    <row r="79" spans="1:9" s="24" customFormat="1" x14ac:dyDescent="0.3">
      <c r="A79" s="41"/>
      <c r="B79" s="41"/>
      <c r="C79" s="17"/>
      <c r="E79" s="141"/>
      <c r="F79" s="138"/>
      <c r="G79" s="138"/>
      <c r="H79" s="17" t="s">
        <v>159</v>
      </c>
      <c r="I79" s="10">
        <v>1435500</v>
      </c>
    </row>
    <row r="80" spans="1:9" s="24" customFormat="1" x14ac:dyDescent="0.3">
      <c r="A80" s="31" t="s">
        <v>20</v>
      </c>
      <c r="B80" s="29"/>
      <c r="C80" s="57"/>
      <c r="D80" s="116">
        <v>71650000</v>
      </c>
      <c r="E80" s="28">
        <f>E81</f>
        <v>22523593</v>
      </c>
      <c r="F80" s="28">
        <f t="shared" si="2"/>
        <v>-49126407</v>
      </c>
      <c r="G80" s="28">
        <f t="shared" si="3"/>
        <v>-68.564420097697138</v>
      </c>
      <c r="H80" s="40"/>
      <c r="I80" s="16"/>
    </row>
    <row r="81" spans="1:11" s="24" customFormat="1" x14ac:dyDescent="0.3">
      <c r="A81" s="34"/>
      <c r="B81" s="34" t="s">
        <v>20</v>
      </c>
      <c r="C81" s="40"/>
      <c r="D81" s="117">
        <v>71650000</v>
      </c>
      <c r="E81" s="10">
        <f>E82+E86+E99</f>
        <v>22523593</v>
      </c>
      <c r="F81" s="28">
        <f t="shared" si="2"/>
        <v>-49126407</v>
      </c>
      <c r="G81" s="28">
        <f t="shared" si="3"/>
        <v>-68.564420097697138</v>
      </c>
      <c r="H81" s="40"/>
      <c r="I81" s="16"/>
    </row>
    <row r="82" spans="1:11" s="24" customFormat="1" x14ac:dyDescent="0.3">
      <c r="A82" s="34"/>
      <c r="B82" s="34"/>
      <c r="C82" s="35" t="s">
        <v>89</v>
      </c>
      <c r="D82" s="122">
        <v>1000000</v>
      </c>
      <c r="E82" s="22">
        <f>I82</f>
        <v>0</v>
      </c>
      <c r="F82" s="15">
        <f t="shared" si="2"/>
        <v>-1000000</v>
      </c>
      <c r="G82" s="15">
        <f t="shared" si="3"/>
        <v>-100</v>
      </c>
      <c r="H82" s="44" t="s">
        <v>90</v>
      </c>
      <c r="I82" s="10">
        <f>SUM(I83:I85)</f>
        <v>0</v>
      </c>
    </row>
    <row r="83" spans="1:11" s="24" customFormat="1" x14ac:dyDescent="0.3">
      <c r="A83" s="34"/>
      <c r="B83" s="34"/>
      <c r="C83" s="35"/>
      <c r="D83" s="147"/>
      <c r="E83" s="53"/>
      <c r="F83" s="75"/>
      <c r="G83" s="75"/>
      <c r="H83" s="17" t="s">
        <v>177</v>
      </c>
      <c r="I83" s="10">
        <v>0</v>
      </c>
    </row>
    <row r="84" spans="1:11" s="24" customFormat="1" x14ac:dyDescent="0.3">
      <c r="A84" s="34"/>
      <c r="B84" s="34"/>
      <c r="C84" s="35"/>
      <c r="D84" s="147"/>
      <c r="E84" s="53"/>
      <c r="F84" s="22"/>
      <c r="G84" s="75"/>
      <c r="H84" s="17" t="s">
        <v>178</v>
      </c>
      <c r="I84" s="10">
        <v>0</v>
      </c>
    </row>
    <row r="85" spans="1:11" s="24" customFormat="1" x14ac:dyDescent="0.3">
      <c r="A85" s="34"/>
      <c r="B85" s="34"/>
      <c r="C85" s="17"/>
      <c r="D85" s="147"/>
      <c r="E85" s="16"/>
      <c r="F85" s="138"/>
      <c r="G85" s="138"/>
      <c r="H85" s="17" t="s">
        <v>179</v>
      </c>
      <c r="I85" s="10">
        <v>0</v>
      </c>
    </row>
    <row r="86" spans="1:11" s="24" customFormat="1" x14ac:dyDescent="0.3">
      <c r="A86" s="34"/>
      <c r="B86" s="34"/>
      <c r="C86" s="37" t="s">
        <v>91</v>
      </c>
      <c r="D86" s="148">
        <v>36925000</v>
      </c>
      <c r="E86" s="15">
        <f>I86</f>
        <v>14664443</v>
      </c>
      <c r="F86" s="11">
        <f t="shared" si="2"/>
        <v>-22260557</v>
      </c>
      <c r="G86" s="15">
        <f t="shared" si="3"/>
        <v>-60.285868652674338</v>
      </c>
      <c r="H86" s="44" t="s">
        <v>92</v>
      </c>
      <c r="I86" s="10">
        <f>SUM(I87:I97)</f>
        <v>14664443</v>
      </c>
    </row>
    <row r="87" spans="1:11" s="24" customFormat="1" x14ac:dyDescent="0.3">
      <c r="A87" s="34"/>
      <c r="B87" s="34"/>
      <c r="C87" s="35"/>
      <c r="D87" s="147"/>
      <c r="E87" s="53"/>
      <c r="F87" s="75"/>
      <c r="G87" s="22"/>
      <c r="H87" s="17" t="s">
        <v>93</v>
      </c>
      <c r="I87" s="10">
        <v>0</v>
      </c>
    </row>
    <row r="88" spans="1:11" s="24" customFormat="1" x14ac:dyDescent="0.3">
      <c r="A88" s="34"/>
      <c r="B88" s="34"/>
      <c r="C88" s="35"/>
      <c r="D88" s="147"/>
      <c r="E88" s="53"/>
      <c r="F88" s="75"/>
      <c r="G88" s="22"/>
      <c r="H88" s="17" t="s">
        <v>94</v>
      </c>
      <c r="I88" s="10">
        <v>0</v>
      </c>
    </row>
    <row r="89" spans="1:11" s="24" customFormat="1" x14ac:dyDescent="0.3">
      <c r="A89" s="34"/>
      <c r="B89" s="34"/>
      <c r="C89" s="35"/>
      <c r="D89" s="147"/>
      <c r="E89" s="53"/>
      <c r="F89" s="75"/>
      <c r="G89" s="22"/>
      <c r="H89" s="17" t="s">
        <v>95</v>
      </c>
      <c r="I89" s="10">
        <v>0</v>
      </c>
    </row>
    <row r="90" spans="1:11" s="24" customFormat="1" x14ac:dyDescent="0.3">
      <c r="A90" s="34"/>
      <c r="B90" s="34"/>
      <c r="C90" s="35"/>
      <c r="D90" s="147"/>
      <c r="E90" s="53"/>
      <c r="F90" s="75"/>
      <c r="G90" s="22"/>
      <c r="H90" s="17" t="s">
        <v>96</v>
      </c>
      <c r="I90" s="10">
        <v>0</v>
      </c>
    </row>
    <row r="91" spans="1:11" s="24" customFormat="1" x14ac:dyDescent="0.3">
      <c r="A91" s="34"/>
      <c r="B91" s="34"/>
      <c r="C91" s="35"/>
      <c r="D91" s="147"/>
      <c r="E91" s="53"/>
      <c r="F91" s="75"/>
      <c r="G91" s="22"/>
      <c r="H91" s="17" t="s">
        <v>97</v>
      </c>
      <c r="I91" s="10">
        <v>0</v>
      </c>
    </row>
    <row r="92" spans="1:11" s="24" customFormat="1" x14ac:dyDescent="0.3">
      <c r="A92" s="34"/>
      <c r="B92" s="34"/>
      <c r="C92" s="35"/>
      <c r="D92" s="147"/>
      <c r="E92" s="53"/>
      <c r="F92" s="75"/>
      <c r="G92" s="22"/>
      <c r="H92" s="17" t="s">
        <v>98</v>
      </c>
      <c r="I92" s="10">
        <v>100000</v>
      </c>
    </row>
    <row r="93" spans="1:11" s="24" customFormat="1" x14ac:dyDescent="0.3">
      <c r="A93" s="34"/>
      <c r="B93" s="34"/>
      <c r="C93" s="35"/>
      <c r="D93" s="147"/>
      <c r="E93" s="53"/>
      <c r="F93" s="75"/>
      <c r="G93" s="22"/>
      <c r="H93" s="17" t="s">
        <v>99</v>
      </c>
      <c r="I93" s="10">
        <v>0</v>
      </c>
    </row>
    <row r="94" spans="1:11" s="24" customFormat="1" x14ac:dyDescent="0.3">
      <c r="A94" s="34"/>
      <c r="B94" s="34"/>
      <c r="C94" s="35"/>
      <c r="D94" s="147"/>
      <c r="E94" s="53"/>
      <c r="F94" s="75"/>
      <c r="G94" s="22"/>
      <c r="H94" s="17" t="s">
        <v>100</v>
      </c>
      <c r="I94" s="10">
        <v>0</v>
      </c>
    </row>
    <row r="95" spans="1:11" s="24" customFormat="1" x14ac:dyDescent="0.3">
      <c r="A95" s="34"/>
      <c r="B95" s="34"/>
      <c r="C95" s="35"/>
      <c r="D95" s="147"/>
      <c r="E95" s="53"/>
      <c r="F95" s="75"/>
      <c r="G95" s="22"/>
      <c r="H95" s="17" t="s">
        <v>101</v>
      </c>
      <c r="I95" s="10">
        <f>4638540+157800</f>
        <v>4796340</v>
      </c>
    </row>
    <row r="96" spans="1:11" s="24" customFormat="1" x14ac:dyDescent="0.3">
      <c r="A96" s="34"/>
      <c r="B96" s="34"/>
      <c r="C96" s="35"/>
      <c r="D96" s="147"/>
      <c r="E96" s="53"/>
      <c r="F96" s="75"/>
      <c r="G96" s="22"/>
      <c r="H96" s="17" t="s">
        <v>102</v>
      </c>
      <c r="I96" s="87">
        <f>5289650+1140000+513660+1120000</f>
        <v>8063310</v>
      </c>
      <c r="K96" s="23"/>
    </row>
    <row r="97" spans="1:11" s="24" customFormat="1" x14ac:dyDescent="0.3">
      <c r="A97" s="48"/>
      <c r="B97" s="59"/>
      <c r="C97" s="60"/>
      <c r="D97" s="147"/>
      <c r="E97" s="53"/>
      <c r="F97" s="75"/>
      <c r="G97" s="22"/>
      <c r="H97" s="17" t="s">
        <v>38</v>
      </c>
      <c r="I97" s="10">
        <v>1704793</v>
      </c>
      <c r="K97" s="25"/>
    </row>
    <row r="98" spans="1:11" s="24" customFormat="1" x14ac:dyDescent="0.3">
      <c r="A98" s="35"/>
      <c r="B98" s="61"/>
      <c r="C98" s="62"/>
      <c r="D98" s="147"/>
      <c r="E98" s="135"/>
      <c r="F98" s="10"/>
      <c r="G98" s="10"/>
      <c r="H98" s="29"/>
      <c r="I98" s="30"/>
      <c r="K98" s="25"/>
    </row>
    <row r="99" spans="1:11" s="24" customFormat="1" x14ac:dyDescent="0.3">
      <c r="A99" s="35"/>
      <c r="B99" s="35"/>
      <c r="C99" s="63" t="s">
        <v>103</v>
      </c>
      <c r="D99" s="148">
        <v>33725000</v>
      </c>
      <c r="E99" s="64">
        <f>I99</f>
        <v>7859150</v>
      </c>
      <c r="F99" s="11">
        <f t="shared" si="2"/>
        <v>-25865850</v>
      </c>
      <c r="G99" s="15">
        <f t="shared" si="3"/>
        <v>-76.696367679762787</v>
      </c>
      <c r="H99" s="44" t="s">
        <v>104</v>
      </c>
      <c r="I99" s="65">
        <f>SUM(I100:I111)</f>
        <v>7859150</v>
      </c>
    </row>
    <row r="100" spans="1:11" s="24" customFormat="1" x14ac:dyDescent="0.3">
      <c r="A100" s="35"/>
      <c r="B100" s="35"/>
      <c r="C100" s="35"/>
      <c r="D100" s="147"/>
      <c r="E100" s="53"/>
      <c r="F100" s="75"/>
      <c r="G100" s="22"/>
      <c r="H100" s="17" t="s">
        <v>105</v>
      </c>
      <c r="I100" s="10">
        <v>643750</v>
      </c>
    </row>
    <row r="101" spans="1:11" s="24" customFormat="1" x14ac:dyDescent="0.3">
      <c r="A101" s="35"/>
      <c r="B101" s="35"/>
      <c r="C101" s="35"/>
      <c r="D101" s="147"/>
      <c r="E101" s="53"/>
      <c r="F101" s="75"/>
      <c r="G101" s="22"/>
      <c r="H101" s="41" t="s">
        <v>158</v>
      </c>
      <c r="I101" s="10">
        <v>0</v>
      </c>
    </row>
    <row r="102" spans="1:11" s="24" customFormat="1" x14ac:dyDescent="0.3">
      <c r="A102" s="35"/>
      <c r="B102" s="35"/>
      <c r="C102" s="35"/>
      <c r="D102" s="144"/>
      <c r="E102" s="53"/>
      <c r="F102" s="75"/>
      <c r="G102" s="22"/>
      <c r="H102" s="41" t="s">
        <v>106</v>
      </c>
      <c r="I102" s="10">
        <v>3000000</v>
      </c>
    </row>
    <row r="103" spans="1:11" s="24" customFormat="1" x14ac:dyDescent="0.3">
      <c r="A103" s="35"/>
      <c r="B103" s="35"/>
      <c r="C103" s="35"/>
      <c r="D103" s="144"/>
      <c r="E103" s="53"/>
      <c r="F103" s="75"/>
      <c r="G103" s="22"/>
      <c r="H103" s="41" t="s">
        <v>107</v>
      </c>
      <c r="I103" s="10">
        <v>0</v>
      </c>
    </row>
    <row r="104" spans="1:11" s="24" customFormat="1" x14ac:dyDescent="0.3">
      <c r="A104" s="35"/>
      <c r="B104" s="35"/>
      <c r="C104" s="35"/>
      <c r="D104" s="144"/>
      <c r="E104" s="53"/>
      <c r="F104" s="75"/>
      <c r="G104" s="22"/>
      <c r="H104" s="41" t="s">
        <v>108</v>
      </c>
      <c r="I104" s="10">
        <v>0</v>
      </c>
    </row>
    <row r="105" spans="1:11" s="24" customFormat="1" x14ac:dyDescent="0.3">
      <c r="A105" s="35"/>
      <c r="B105" s="35"/>
      <c r="C105" s="35"/>
      <c r="D105" s="144"/>
      <c r="E105" s="53"/>
      <c r="F105" s="75"/>
      <c r="G105" s="22"/>
      <c r="H105" s="41" t="s">
        <v>109</v>
      </c>
      <c r="I105" s="10">
        <v>0</v>
      </c>
    </row>
    <row r="106" spans="1:11" s="24" customFormat="1" x14ac:dyDescent="0.3">
      <c r="A106" s="35"/>
      <c r="B106" s="35"/>
      <c r="C106" s="35"/>
      <c r="D106" s="144"/>
      <c r="E106" s="53"/>
      <c r="F106" s="75"/>
      <c r="G106" s="22"/>
      <c r="H106" s="17" t="s">
        <v>110</v>
      </c>
      <c r="I106" s="10">
        <v>0</v>
      </c>
    </row>
    <row r="107" spans="1:11" s="24" customFormat="1" x14ac:dyDescent="0.3">
      <c r="A107" s="35"/>
      <c r="B107" s="35"/>
      <c r="C107" s="35"/>
      <c r="D107" s="144"/>
      <c r="E107" s="53"/>
      <c r="F107" s="75"/>
      <c r="G107" s="22"/>
      <c r="H107" s="41" t="s">
        <v>111</v>
      </c>
      <c r="I107" s="10">
        <v>0</v>
      </c>
    </row>
    <row r="108" spans="1:11" s="24" customFormat="1" x14ac:dyDescent="0.3">
      <c r="A108" s="35"/>
      <c r="B108" s="35"/>
      <c r="C108" s="35"/>
      <c r="D108" s="144"/>
      <c r="E108" s="53"/>
      <c r="F108" s="75"/>
      <c r="G108" s="22"/>
      <c r="H108" s="41" t="s">
        <v>112</v>
      </c>
      <c r="I108" s="10">
        <v>0</v>
      </c>
    </row>
    <row r="109" spans="1:11" s="24" customFormat="1" x14ac:dyDescent="0.3">
      <c r="A109" s="35"/>
      <c r="B109" s="35"/>
      <c r="C109" s="35"/>
      <c r="D109" s="144"/>
      <c r="E109" s="53"/>
      <c r="F109" s="75"/>
      <c r="G109" s="22"/>
      <c r="H109" s="41" t="s">
        <v>113</v>
      </c>
      <c r="I109" s="10">
        <v>0</v>
      </c>
    </row>
    <row r="110" spans="1:11" s="24" customFormat="1" x14ac:dyDescent="0.3">
      <c r="A110" s="35"/>
      <c r="B110" s="35"/>
      <c r="C110" s="35"/>
      <c r="D110" s="144"/>
      <c r="E110" s="53"/>
      <c r="F110" s="75"/>
      <c r="G110" s="22"/>
      <c r="H110" s="41" t="s">
        <v>114</v>
      </c>
      <c r="I110" s="10">
        <v>0</v>
      </c>
    </row>
    <row r="111" spans="1:11" s="24" customFormat="1" x14ac:dyDescent="0.3">
      <c r="A111" s="35"/>
      <c r="B111" s="60"/>
      <c r="C111" s="60"/>
      <c r="D111" s="144"/>
      <c r="E111" s="53"/>
      <c r="F111" s="10"/>
      <c r="G111" s="10"/>
      <c r="H111" s="32" t="s">
        <v>185</v>
      </c>
      <c r="I111" s="10">
        <v>4215400</v>
      </c>
    </row>
    <row r="112" spans="1:11" s="24" customFormat="1" x14ac:dyDescent="0.3">
      <c r="A112" s="37" t="s">
        <v>22</v>
      </c>
      <c r="B112" s="57"/>
      <c r="C112" s="57"/>
      <c r="D112" s="153">
        <v>246030</v>
      </c>
      <c r="E112" s="28">
        <f>E113</f>
        <v>14071885</v>
      </c>
      <c r="F112" s="28">
        <f t="shared" si="2"/>
        <v>13825855</v>
      </c>
      <c r="G112" s="28">
        <f>F112/D112*100</f>
        <v>5619.5809454131613</v>
      </c>
      <c r="H112" s="32"/>
      <c r="I112" s="16"/>
      <c r="K112" s="25"/>
    </row>
    <row r="113" spans="1:11" s="24" customFormat="1" x14ac:dyDescent="0.3">
      <c r="A113" s="35"/>
      <c r="B113" s="35" t="s">
        <v>22</v>
      </c>
      <c r="C113" s="40"/>
      <c r="D113" s="117">
        <v>246030</v>
      </c>
      <c r="E113" s="10">
        <f>E114+E119</f>
        <v>14071885</v>
      </c>
      <c r="F113" s="28">
        <f t="shared" si="2"/>
        <v>13825855</v>
      </c>
      <c r="G113" s="28">
        <f t="shared" si="3"/>
        <v>5619.5809454131613</v>
      </c>
      <c r="H113" s="32"/>
      <c r="I113" s="16"/>
      <c r="K113" s="25"/>
    </row>
    <row r="114" spans="1:11" s="24" customFormat="1" x14ac:dyDescent="0.3">
      <c r="A114" s="58"/>
      <c r="B114" s="35"/>
      <c r="C114" s="35" t="s">
        <v>115</v>
      </c>
      <c r="D114" s="122">
        <v>196030</v>
      </c>
      <c r="E114" s="22">
        <f>I114</f>
        <v>14071885</v>
      </c>
      <c r="F114" s="11">
        <f t="shared" si="2"/>
        <v>13875855</v>
      </c>
      <c r="G114" s="15">
        <f t="shared" si="3"/>
        <v>7078.4344233025568</v>
      </c>
      <c r="H114" s="44" t="s">
        <v>116</v>
      </c>
      <c r="I114" s="65">
        <f>SUM(I115:I118)</f>
        <v>14071885</v>
      </c>
    </row>
    <row r="115" spans="1:11" s="24" customFormat="1" x14ac:dyDescent="0.3">
      <c r="A115" s="58"/>
      <c r="B115" s="35"/>
      <c r="C115" s="35"/>
      <c r="D115" s="144"/>
      <c r="E115" s="22"/>
      <c r="F115" s="75"/>
      <c r="G115" s="22"/>
      <c r="H115" s="32" t="s">
        <v>186</v>
      </c>
      <c r="I115" s="10">
        <v>2550230</v>
      </c>
    </row>
    <row r="116" spans="1:11" s="24" customFormat="1" x14ac:dyDescent="0.3">
      <c r="A116" s="58"/>
      <c r="B116" s="35"/>
      <c r="C116" s="35"/>
      <c r="D116" s="144"/>
      <c r="E116" s="22"/>
      <c r="F116" s="75"/>
      <c r="G116" s="22"/>
      <c r="H116" s="32" t="s">
        <v>184</v>
      </c>
      <c r="I116" s="10">
        <v>56535</v>
      </c>
    </row>
    <row r="117" spans="1:11" s="24" customFormat="1" x14ac:dyDescent="0.3">
      <c r="A117" s="35"/>
      <c r="B117" s="38"/>
      <c r="C117" s="170"/>
      <c r="D117" s="171"/>
      <c r="E117" s="172"/>
      <c r="F117" s="173"/>
      <c r="G117" s="173"/>
      <c r="H117" s="174" t="s">
        <v>181</v>
      </c>
      <c r="I117" s="10">
        <v>2061710</v>
      </c>
    </row>
    <row r="118" spans="1:11" s="24" customFormat="1" x14ac:dyDescent="0.3">
      <c r="A118" s="35"/>
      <c r="B118" s="35"/>
      <c r="C118" s="35"/>
      <c r="D118" s="144"/>
      <c r="E118" s="53"/>
      <c r="F118" s="22"/>
      <c r="G118" s="22"/>
      <c r="H118" s="32" t="s">
        <v>199</v>
      </c>
      <c r="I118" s="10">
        <v>9403410</v>
      </c>
    </row>
    <row r="119" spans="1:11" s="24" customFormat="1" x14ac:dyDescent="0.3">
      <c r="A119" s="35"/>
      <c r="B119" s="35"/>
      <c r="C119" s="37" t="s">
        <v>117</v>
      </c>
      <c r="D119" s="125">
        <v>50000</v>
      </c>
      <c r="E119" s="15">
        <f>I119</f>
        <v>0</v>
      </c>
      <c r="F119" s="11">
        <f t="shared" si="2"/>
        <v>-50000</v>
      </c>
      <c r="G119" s="15">
        <f t="shared" si="3"/>
        <v>-100</v>
      </c>
      <c r="H119" s="44" t="s">
        <v>118</v>
      </c>
      <c r="I119" s="65">
        <f>I120</f>
        <v>0</v>
      </c>
    </row>
    <row r="120" spans="1:11" s="24" customFormat="1" x14ac:dyDescent="0.3">
      <c r="A120" s="17"/>
      <c r="B120" s="17"/>
      <c r="C120" s="17"/>
      <c r="D120" s="145"/>
      <c r="E120" s="16"/>
      <c r="F120" s="10"/>
      <c r="G120" s="10"/>
      <c r="H120" s="41"/>
      <c r="I120" s="10"/>
      <c r="J120" s="25"/>
    </row>
    <row r="121" spans="1:11" s="24" customFormat="1" ht="15" customHeight="1" x14ac:dyDescent="0.3">
      <c r="E121"/>
      <c r="F121"/>
      <c r="G121"/>
      <c r="J121" s="23"/>
    </row>
    <row r="122" spans="1:11" s="24" customFormat="1" ht="15" customHeight="1" x14ac:dyDescent="0.3">
      <c r="E122"/>
      <c r="F122"/>
      <c r="G122"/>
    </row>
    <row r="123" spans="1:11" s="24" customFormat="1" x14ac:dyDescent="0.3">
      <c r="E123"/>
      <c r="F123"/>
      <c r="G123"/>
      <c r="H123" s="23"/>
    </row>
  </sheetData>
  <mergeCells count="5">
    <mergeCell ref="A1:I1"/>
    <mergeCell ref="A5:C5"/>
    <mergeCell ref="D3:G3"/>
    <mergeCell ref="H3:H4"/>
    <mergeCell ref="I3:I4"/>
  </mergeCells>
  <phoneticPr fontId="4" type="noConversion"/>
  <pageMargins left="0.70866141732283472" right="0.70866141732283472" top="1.1811023622047245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예산총칙</vt:lpstr>
      <vt:lpstr>총괄표</vt:lpstr>
      <vt:lpstr>세입내역서</vt:lpstr>
      <vt:lpstr>세출내역서</vt:lpstr>
      <vt:lpstr>세입내역서!Print_Area</vt:lpstr>
      <vt:lpstr>세출내역서!Print_Area</vt:lpstr>
      <vt:lpstr>예산총칙!Print_Area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2020-12-24T07:05:19Z</cp:lastPrinted>
  <dcterms:created xsi:type="dcterms:W3CDTF">2020-12-09T00:34:48Z</dcterms:created>
  <dcterms:modified xsi:type="dcterms:W3CDTF">2020-12-24T07:05:42Z</dcterms:modified>
</cp:coreProperties>
</file>